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matthew.livingstone\Downloads\"/>
    </mc:Choice>
  </mc:AlternateContent>
  <xr:revisionPtr revIDLastSave="0" documentId="8_{D17CED00-2ADF-4A0A-A49B-6C85618E872C}" xr6:coauthVersionLast="47" xr6:coauthVersionMax="47" xr10:uidLastSave="{00000000-0000-0000-0000-000000000000}"/>
  <bookViews>
    <workbookView xWindow="-10755" yWindow="-21720" windowWidth="51840" windowHeight="21120" xr2:uid="{00000000-000D-0000-FFFF-FFFF00000000}"/>
  </bookViews>
  <sheets>
    <sheet name="Dashboard" sheetId="1" r:id="rId1"/>
    <sheet name="Inputs &amp; Guidance" sheetId="2" r:id="rId2"/>
    <sheet name="Impact Model" sheetId="3" r:id="rId3"/>
    <sheet name="Methodology &amp; Sourc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3" l="1"/>
  <c r="E24" i="3"/>
  <c r="D24" i="3"/>
  <c r="F21" i="3"/>
  <c r="E21" i="3"/>
  <c r="D21" i="3"/>
  <c r="F18" i="3"/>
  <c r="E18" i="3"/>
  <c r="D18" i="3"/>
  <c r="F16" i="3"/>
  <c r="E16" i="3"/>
  <c r="D16" i="3"/>
  <c r="F15" i="3"/>
  <c r="E15" i="3"/>
  <c r="D15" i="3"/>
  <c r="D20" i="3" s="1"/>
  <c r="F11" i="3"/>
  <c r="F13" i="3" s="1"/>
  <c r="E11" i="3"/>
  <c r="E13" i="3" s="1"/>
  <c r="D11" i="3"/>
  <c r="D13" i="3" s="1"/>
  <c r="F10" i="3"/>
  <c r="F12" i="3" s="1"/>
  <c r="F14" i="3" s="1"/>
  <c r="F19" i="3" s="1"/>
  <c r="E10" i="3"/>
  <c r="E12" i="3" s="1"/>
  <c r="E14" i="3" s="1"/>
  <c r="E19" i="3" s="1"/>
  <c r="D10" i="3"/>
  <c r="D12" i="3" s="1"/>
  <c r="F8" i="3"/>
  <c r="E8" i="3"/>
  <c r="D8" i="3"/>
  <c r="F7" i="3"/>
  <c r="F26" i="3" s="1"/>
  <c r="E7" i="3"/>
  <c r="E26" i="3" s="1"/>
  <c r="D7" i="3"/>
  <c r="D26" i="3" s="1"/>
  <c r="F35" i="2"/>
  <c r="E35" i="2"/>
  <c r="D35" i="2"/>
  <c r="F34" i="2"/>
  <c r="E34" i="2"/>
  <c r="D34" i="2"/>
  <c r="F33" i="2"/>
  <c r="E33" i="2"/>
  <c r="D33" i="2"/>
  <c r="F32" i="2"/>
  <c r="E32" i="2"/>
  <c r="D32" i="2"/>
  <c r="I4" i="2"/>
  <c r="K7" i="1"/>
  <c r="B4" i="1"/>
  <c r="D22" i="3" l="1"/>
  <c r="C29" i="1" s="1"/>
  <c r="D14" i="3"/>
  <c r="D19" i="3" s="1"/>
  <c r="D9" i="3"/>
  <c r="D25" i="3" s="1"/>
  <c r="E9" i="3"/>
  <c r="F9" i="3"/>
  <c r="F30" i="3" s="1"/>
  <c r="E30" i="1" s="1"/>
  <c r="E20" i="3"/>
  <c r="E22" i="3" s="1"/>
  <c r="D29" i="1" s="1"/>
  <c r="F20" i="3"/>
  <c r="F22" i="3" s="1"/>
  <c r="E29" i="1" s="1"/>
  <c r="E25" i="3" l="1"/>
  <c r="D28" i="1" s="1"/>
  <c r="H7" i="1"/>
  <c r="E27" i="3"/>
  <c r="E29" i="3" s="1"/>
  <c r="C19" i="1"/>
  <c r="C28" i="1"/>
  <c r="D27" i="3"/>
  <c r="D29" i="3" s="1"/>
  <c r="C27" i="1" s="1"/>
  <c r="D28" i="3"/>
  <c r="C26" i="1" s="1"/>
  <c r="C16" i="1"/>
  <c r="C15" i="1"/>
  <c r="C14" i="1"/>
  <c r="C13" i="1"/>
  <c r="C17" i="1"/>
  <c r="C18" i="1"/>
  <c r="F25" i="3"/>
  <c r="D30" i="3"/>
  <c r="C30" i="1" s="1"/>
  <c r="E30" i="3"/>
  <c r="D30" i="1" s="1"/>
  <c r="E28" i="3" l="1"/>
  <c r="D27" i="1"/>
  <c r="E7" i="1"/>
  <c r="E28" i="1"/>
  <c r="F28" i="3"/>
  <c r="E26" i="1" s="1"/>
  <c r="F27" i="3"/>
  <c r="F29" i="3" s="1"/>
  <c r="E27" i="1" s="1"/>
  <c r="D26" i="1"/>
  <c r="B7" i="1"/>
</calcChain>
</file>

<file path=xl/sharedStrings.xml><?xml version="1.0" encoding="utf-8"?>
<sst xmlns="http://schemas.openxmlformats.org/spreadsheetml/2006/main" count="358" uniqueCount="248">
  <si>
    <t>Dollars of good per $1</t>
  </si>
  <si>
    <t>Net social value per $1</t>
  </si>
  <si>
    <t>Adjusted social value</t>
  </si>
  <si>
    <t>Weighted evidence confidence</t>
  </si>
  <si>
    <t>Selected-scenario benefit composition</t>
  </si>
  <si>
    <t>Benefit category</t>
  </si>
  <si>
    <t>Estimated attributable value</t>
  </si>
  <si>
    <t>Property damage</t>
  </si>
  <si>
    <t>Public infrastructure</t>
  </si>
  <si>
    <t>Business interruption</t>
  </si>
  <si>
    <t>Emergency, displacement &amp; health</t>
  </si>
  <si>
    <t>Environmental &amp; other</t>
  </si>
  <si>
    <t>Less: maintenance and adverse costs</t>
  </si>
  <si>
    <t>Total adjusted social value</t>
  </si>
  <si>
    <t>Scenario comparison</t>
  </si>
  <si>
    <t>Metric</t>
  </si>
  <si>
    <t>Conservative</t>
  </si>
  <si>
    <t>Base</t>
  </si>
  <si>
    <t>Optimistic</t>
  </si>
  <si>
    <t>Why it matters</t>
  </si>
  <si>
    <t>Headline confidence-adjusted social-value estimate.</t>
  </si>
  <si>
    <t>This is a monetized estimate of social value, not a literal financial return to the donor.</t>
  </si>
  <si>
    <t>Value created after treating the donated funds as a social resource cost.</t>
  </si>
  <si>
    <t>A strong decision should remain attractive under conservative assumptions.</t>
  </si>
  <si>
    <t>Total confidence-, causality-, and attribution-adjusted value assigned to the donation.</t>
  </si>
  <si>
    <t>Replace every illustrative input with project-specific evidence.</t>
  </si>
  <si>
    <t>PV net project benefit</t>
  </si>
  <si>
    <t>Project-level present value after maintenance and adverse costs, before donor attribution.</t>
  </si>
  <si>
    <t>Review flood probability, damage estimates, additionality, attribution, and implementation risk.</t>
  </si>
  <si>
    <t>Approximate social payback period</t>
  </si>
  <si>
    <t>Estimated time for attributable first-year benefits to equal the donation.</t>
  </si>
  <si>
    <t>Also assess whether the project transfers flood risk to neighbouring communities.</t>
  </si>
  <si>
    <t>Dollars of Good — Social Impact Donation Model</t>
  </si>
  <si>
    <t>Illustrative case study: community flood mitigation in Atlantic Canada. Blue-font cells are editable inputs; formulas and outputs update automatically.</t>
  </si>
  <si>
    <t>Selected scenario</t>
  </si>
  <si>
    <t>Evidence inputs documented?</t>
  </si>
  <si>
    <t>Yes</t>
  </si>
  <si>
    <t>Model status</t>
  </si>
  <si>
    <t>How to use: choose a scenario, replace the fictional assumptions with project-specific evidence, and read the guided definitions before editing. Keep all monetary inputs in the same currency.</t>
  </si>
  <si>
    <t>Section</t>
  </si>
  <si>
    <t>Input</t>
  </si>
  <si>
    <t>Units</t>
  </si>
  <si>
    <t>How to think about / calculate it</t>
  </si>
  <si>
    <t>Source or note</t>
  </si>
  <si>
    <t>Project scope</t>
  </si>
  <si>
    <t>Donation amount</t>
  </si>
  <si>
    <t>$</t>
  </si>
  <si>
    <t>The amount the business is considering donating. Keep it constant across scenarios unless the decision is specifically comparing donation sizes.</t>
  </si>
  <si>
    <t>Illustrative case amount.</t>
  </si>
  <si>
    <t>Total project cost</t>
  </si>
  <si>
    <t>Include the full capital cost required to deliver the intervention, not only the requested corporate donation.</t>
  </si>
  <si>
    <t>Illustrative assumption; replace with project budget.</t>
  </si>
  <si>
    <t>Time &amp; valuation</t>
  </si>
  <si>
    <t>Project life</t>
  </si>
  <si>
    <t>years</t>
  </si>
  <si>
    <t>Expected period during which the intervention meaningfully reduces losses. Use engineering life or a conservative useful-life estimate.</t>
  </si>
  <si>
    <t>Illustrative assumption.</t>
  </si>
  <si>
    <t>Social discount rate</t>
  </si>
  <si>
    <t>%</t>
  </si>
  <si>
    <t>Rate used to translate future social benefits into today's dollars. A higher rate places less weight on distant benefits.</t>
  </si>
  <si>
    <t>Use an organizational or public-policy standard where available.</t>
  </si>
  <si>
    <t>Annual benefit degradation</t>
  </si>
  <si>
    <t>Expected annual decline in effectiveness from wear, inadequate maintenance, land-use change, or worsening hazards.</t>
  </si>
  <si>
    <t>Costs &amp; harms</t>
  </si>
  <si>
    <t>Annual maintenance / social cost</t>
  </si>
  <si>
    <t>$ / year</t>
  </si>
  <si>
    <t>Recurring resources needed to preserve effectiveness. Do not include costs already embedded in the flood-loss categories.</t>
  </si>
  <si>
    <t>One-time adverse social / environmental cost</t>
  </si>
  <si>
    <t>Monetized negative effects such as ecological disturbance, relocation, construction disruption, or land acquisition.</t>
  </si>
  <si>
    <t>Hazard</t>
  </si>
  <si>
    <t>Baseline annual flood probability</t>
  </si>
  <si>
    <t>Estimated chance of a material flood in a typical year without the project. A return period can be approximated as probability = 1 ÷ return period.</t>
  </si>
  <si>
    <t>Replace with local flood mapping or hazard analysis.</t>
  </si>
  <si>
    <t>Post-project annual flood probability</t>
  </si>
  <si>
    <t>Estimated annual probability after the intervention. Do not assume the project eliminates all flood risk.</t>
  </si>
  <si>
    <t>Replace with engineering or hydrological evidence.</t>
  </si>
  <si>
    <t>Causality</t>
  </si>
  <si>
    <t>Additionality</t>
  </si>
  <si>
    <t>Share of benefits that would not occur without the funding. Reduce this when government or other donors were likely to finance the project anyway.</t>
  </si>
  <si>
    <t>Counterfactual funding assessment.</t>
  </si>
  <si>
    <t>Implementation probability</t>
  </si>
  <si>
    <t>Probability the project is completed, maintained, and performs broadly as planned.</t>
  </si>
  <si>
    <t>Consider permits, governance, delivery capacity, and maintenance plans.</t>
  </si>
  <si>
    <t>Leakage / displacement factor</t>
  </si>
  <si>
    <t>Share of benefits not offset by harms elsewhere, such as redirecting floodwater to another community.</t>
  </si>
  <si>
    <t>Use below 100% when the project may transfer risk.</t>
  </si>
  <si>
    <t>Attribution</t>
  </si>
  <si>
    <t>Attribution override (optional)</t>
  </si>
  <si>
    <t>Leave blank to assign benefits according to the donation's share of total project cost. Enter an override only when a catalytic or non-proportional role is documented.</t>
  </si>
  <si>
    <t>Blank in the illustrative case; model uses pro-rata attribution.</t>
  </si>
  <si>
    <t>Benefit Category Assumptions</t>
  </si>
  <si>
    <t>Benefit / loss category</t>
  </si>
  <si>
    <t>Include?</t>
  </si>
  <si>
    <t>Baseline loss per event</t>
  </si>
  <si>
    <t>Residual loss after project</t>
  </si>
  <si>
    <t>Evidence confidence</t>
  </si>
  <si>
    <t>How to estimate / avoid double counting</t>
  </si>
  <si>
    <t>Residential and commercial property damage</t>
  </si>
  <si>
    <t>$ / flood</t>
  </si>
  <si>
    <t>Repair or replacement cost of damaged structures and contents. Do not add insurance payouts separately; they shift who pays rather than create a second loss.</t>
  </si>
  <si>
    <t>Public infrastructure repair</t>
  </si>
  <si>
    <t>Roads, bridges, culverts, utilities, and public facilities. Use engineering or municipal repair estimates.</t>
  </si>
  <si>
    <t>Business interruption and lost output</t>
  </si>
  <si>
    <t>Estimate lost value added or operating profit rather than gross sales to reduce overstatement.</t>
  </si>
  <si>
    <t>Emergency response</t>
  </si>
  <si>
    <t>Incremental emergency labour, equipment, evacuation, and response costs caused by the flood.</t>
  </si>
  <si>
    <t>Temporary housing and displacement</t>
  </si>
  <si>
    <t>Accommodation, transport, and other incremental displacement costs. Avoid duplicating costs already included in property claims.</t>
  </si>
  <si>
    <t>Health and productivity impacts</t>
  </si>
  <si>
    <t>Medical costs and clearly supported lost work time. Report harder-to-monetize wellbeing effects separately when evidence is weak.</t>
  </si>
  <si>
    <t>Environmental restoration</t>
  </si>
  <si>
    <t>Cleanup and restoration costs for damaged ecosystems. Avoid broad ecosystem values without a defensible valuation method.</t>
  </si>
  <si>
    <t>Other non-overlapping losses</t>
  </si>
  <si>
    <t>No</t>
  </si>
  <si>
    <t>Use only for a material category not captured above, and document why it does not overlap with another row.</t>
  </si>
  <si>
    <t>Optional input.</t>
  </si>
  <si>
    <t>CALCULATED DIAGNOSTICS &amp; INPUT CHECKS</t>
  </si>
  <si>
    <t>Diagnostics below are calculated automatically from the scenario assumptions and included loss categories.</t>
  </si>
  <si>
    <t>Attribution factor used</t>
  </si>
  <si>
    <t>Donation share of total project cost unless an attribution override is entered.</t>
  </si>
  <si>
    <t>Calculated diagnostic.</t>
  </si>
  <si>
    <t>Baseline total loss per flood</t>
  </si>
  <si>
    <t>Sum of baseline losses for categories marked Yes.</t>
  </si>
  <si>
    <t>Validation</t>
  </si>
  <si>
    <t>Post-project risk below baseline?</t>
  </si>
  <si>
    <t>Status</t>
  </si>
  <si>
    <t>Both event probability and loss severity should decline for a conventional flood-mitigation project.</t>
  </si>
  <si>
    <t>Calculated validation check.</t>
  </si>
  <si>
    <t>Impact Model</t>
  </si>
  <si>
    <t>Calculation engine. Each column calculates a complete scenario using the assumptions entered on the Inputs &amp; Guidance sheet.</t>
  </si>
  <si>
    <t>Plain-language logic</t>
  </si>
  <si>
    <t>EXPECTED LOSS &amp; RISK REDUCTION</t>
  </si>
  <si>
    <t>Donation</t>
  </si>
  <si>
    <t>Starting donation under analysis.</t>
  </si>
  <si>
    <t>Full intervention cost used to calculate the donor's pro-rata attribution.</t>
  </si>
  <si>
    <t>Attribution factor</t>
  </si>
  <si>
    <t>Donation share of project cost unless an override is entered.</t>
  </si>
  <si>
    <t>Baseline loss per flood</t>
  </si>
  <si>
    <t>Sum of included category losses before the project.</t>
  </si>
  <si>
    <t>Post-project loss per flood</t>
  </si>
  <si>
    <t>Included loss categories multiplied by their residual-loss percentages.</t>
  </si>
  <si>
    <t>Baseline expected annual loss</t>
  </si>
  <si>
    <t>Baseline loss per flood × baseline annual flood probability.</t>
  </si>
  <si>
    <t>Post-project expected annual loss</t>
  </si>
  <si>
    <t>Post-project loss per flood × post-project annual flood probability.</t>
  </si>
  <si>
    <t>Gross annual avoided loss</t>
  </si>
  <si>
    <t>Baseline expected annual loss − post-project expected annual loss.</t>
  </si>
  <si>
    <t>Evidence-adjusted annual benefit</t>
  </si>
  <si>
    <t>Category-level avoided losses weighted by evidence confidence.</t>
  </si>
  <si>
    <t>Baseline-loss-weighted confidence across included benefit categories.</t>
  </si>
  <si>
    <t>PRESENT VALUE</t>
  </si>
  <si>
    <t>Present-value factor</t>
  </si>
  <si>
    <t>Discounted value of one unit of first-year benefit over the project's life, including annual degradation.</t>
  </si>
  <si>
    <t>x</t>
  </si>
  <si>
    <t>PV of gross avoided losses</t>
  </si>
  <si>
    <t>Gross annual avoided loss × present-value factor.</t>
  </si>
  <si>
    <t>PV of evidence-adjusted benefits</t>
  </si>
  <si>
    <t>Evidence-adjusted annual benefit × present-value factor.</t>
  </si>
  <si>
    <t>PV of maintenance and adverse costs</t>
  </si>
  <si>
    <t>Discounted annual maintenance plus one-time adverse costs.</t>
  </si>
  <si>
    <t>Evidence-adjusted benefits less maintenance and adverse costs.</t>
  </si>
  <si>
    <t>CAUSALITY, ATTRIBUTION &amp; OUTPUTS</t>
  </si>
  <si>
    <t>Causality factor</t>
  </si>
  <si>
    <t>Additionality × implementation probability × leakage factor.</t>
  </si>
  <si>
    <t>Adjusted social value attributable to donation</t>
  </si>
  <si>
    <t>Positive net project benefit after causality and attribution adjustments.</t>
  </si>
  <si>
    <t>Less: donation cost</t>
  </si>
  <si>
    <t>The donated funds are treated as a real social resource cost.</t>
  </si>
  <si>
    <t>Net social value</t>
  </si>
  <si>
    <t>Adjusted attributable social value less the donation.</t>
  </si>
  <si>
    <t>Dollars of good per $1 donated</t>
  </si>
  <si>
    <t>Adjusted attributable social value ÷ donation.</t>
  </si>
  <si>
    <t>Net social value per $1 donated</t>
  </si>
  <si>
    <t>Net social value ÷ donation.</t>
  </si>
  <si>
    <t>Donation ÷ first-year attributable evidence-adjusted benefit.</t>
  </si>
  <si>
    <t>Methodology &amp; Sources</t>
  </si>
  <si>
    <t>Use this sheet to understand the model, document replacements for illustrative assumptions, and maintain a transparent evidence trail.</t>
  </si>
  <si>
    <t>What the model measures</t>
  </si>
  <si>
    <t>The model estimates the present value of flood losses avoided by a proposed intervention. It compares expected annual losses without and with the project, adjusts each benefit category for evidence quality, subtracts maintenance and adverse effects, and then applies additionality, implementation, leakage, and donor attribution. The primary output is the estimated confidence-adjusted social value created for every $1 donated.</t>
  </si>
  <si>
    <t>Core equations</t>
  </si>
  <si>
    <t>Baseline loss per flood × baseline annual flood probability</t>
  </si>
  <si>
    <t>Post-project loss per flood × post-project annual flood probability</t>
  </si>
  <si>
    <t>Annual avoided loss</t>
  </si>
  <si>
    <t>Baseline expected annual loss − post-project expected annual loss</t>
  </si>
  <si>
    <t>Sum of category-level avoided losses × category evidence confidence</t>
  </si>
  <si>
    <t>PV of evidence-adjusted benefits − PV of maintenance and adverse costs</t>
  </si>
  <si>
    <t>Adjusted attributable social value</t>
  </si>
  <si>
    <t>Positive PV net project benefit × additionality × implementation × leakage × attribution</t>
  </si>
  <si>
    <t>Adjusted attributable social value ÷ donation</t>
  </si>
  <si>
    <t>Minimum analytical safeguards</t>
  </si>
  <si>
    <t>1</t>
  </si>
  <si>
    <t>Use the true counterfactual: what is expected to happen without this donation and project?</t>
  </si>
  <si>
    <t>2</t>
  </si>
  <si>
    <t>Count each underlying loss once. Insurance claims or government assistance usually change who pays; they are not automatically additional losses.</t>
  </si>
  <si>
    <t>3</t>
  </si>
  <si>
    <t>Use local hazard and engineering evidence whenever available, rather than relying only on broad regional averages.</t>
  </si>
  <si>
    <t>4</t>
  </si>
  <si>
    <t>Document why the donation receives its attribution share, especially when an override exceeds the pro-rata funding share.</t>
  </si>
  <si>
    <t>5</t>
  </si>
  <si>
    <t>Include maintenance, environmental harms, and risk transferred to neighbouring communities.</t>
  </si>
  <si>
    <t>6</t>
  </si>
  <si>
    <t>Do not force every benefit into dollars. Report important non-monetized outcomes separately.</t>
  </si>
  <si>
    <t>7</t>
  </si>
  <si>
    <t>Never present the base estimate without conservative and optimistic scenarios.</t>
  </si>
  <si>
    <t>Source register</t>
  </si>
  <si>
    <t>Evidence source</t>
  </si>
  <si>
    <t>What it supports</t>
  </si>
  <si>
    <t>URL / file reference</t>
  </si>
  <si>
    <t>Current as of</t>
  </si>
  <si>
    <t>Use in this workbook</t>
  </si>
  <si>
    <t>Replacement priority</t>
  </si>
  <si>
    <t>Local flood-hazard mapping or hydrological study</t>
  </si>
  <si>
    <t>Baseline annual flood probability and hazard severity.</t>
  </si>
  <si>
    <t>Insert project-specific source</t>
  </si>
  <si>
    <t>To be completed</t>
  </si>
  <si>
    <t>Replace the illustrative baseline probability.</t>
  </si>
  <si>
    <t>Highest</t>
  </si>
  <si>
    <t>Engineering design or effectiveness assessment</t>
  </si>
  <si>
    <t>Post-project flood probability, residual damage, and expected useful life.</t>
  </si>
  <si>
    <t>Replace project-effectiveness and life assumptions.</t>
  </si>
  <si>
    <t>Municipal or insurer loss records</t>
  </si>
  <si>
    <t>Property and public-infrastructure damage per flood.</t>
  </si>
  <si>
    <t>Replace property and infrastructure loss estimates.</t>
  </si>
  <si>
    <t>Business interruption or regional economic study</t>
  </si>
  <si>
    <t>Lost output, closure time, and productivity effects.</t>
  </si>
  <si>
    <t>Replace business-interruption estimates.</t>
  </si>
  <si>
    <t>High</t>
  </si>
  <si>
    <t>Emergency management and displacement records</t>
  </si>
  <si>
    <t>Response, temporary housing, and evacuation costs.</t>
  </si>
  <si>
    <t>Replace response and displacement estimates.</t>
  </si>
  <si>
    <t>Health or public-health evidence</t>
  </si>
  <si>
    <t>Medical costs, lost work time, and flood-related health impacts.</t>
  </si>
  <si>
    <t>Replace health and productivity estimates.</t>
  </si>
  <si>
    <t>Medium</t>
  </si>
  <si>
    <t>Environmental assessment and maintenance plan</t>
  </si>
  <si>
    <t>Restoration costs, adverse impacts, leakage, and ongoing maintenance.</t>
  </si>
  <si>
    <t>Replace environmental, maintenance, and leakage assumptions.</t>
  </si>
  <si>
    <t>Important limitations</t>
  </si>
  <si>
    <t>Illustrative defaults</t>
  </si>
  <si>
    <t>The sample values are fictional and are not estimates for a named community or project.</t>
  </si>
  <si>
    <t>Probability uncertainty</t>
  </si>
  <si>
    <t>Flood probabilities can change over time; climate trends may make a stationary annual probability inappropriate.</t>
  </si>
  <si>
    <t>A completed project may still have occurred without the corporate donation; additionality must be supported by the funding counterfactual.</t>
  </si>
  <si>
    <t>Double counting</t>
  </si>
  <si>
    <t>Property, insurance, government assistance, and charitable relief can describe the same underlying loss from different perspectives.</t>
  </si>
  <si>
    <t>Valuation boundaries</t>
  </si>
  <si>
    <t>The model captures monetized benefits only. Community resilience, anxiety reduction, biodiversity, and equity impacts may need separate reporting.</t>
  </si>
  <si>
    <t>Dollars of Good: Community Flood Mitigation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</si>
</sst>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Red]\(\$#,##0\);\-"/>
    <numFmt numFmtId="165" formatCode="0.0%;[Red]\(0.0%\);\-"/>
    <numFmt numFmtId="169" formatCode="0.0\x;[Red]\(0.0\x\);\-"/>
    <numFmt numFmtId="170" formatCode="#,##0;[Red]\(#,##0\);\-"/>
    <numFmt numFmtId="171" formatCode="\$#,##0.00;[Red]\(\$#,##0.00\);\-"/>
    <numFmt numFmtId="172" formatCode="0\ &quot;years&quot;"/>
    <numFmt numFmtId="173" formatCode="0.00\x"/>
    <numFmt numFmtId="174" formatCode="0.0\ &quot;years&quot;;[Red]\(0.0\ &quot;years&quot;\);\-"/>
    <numFmt numFmtId="176" formatCode="0.00\x;[Red]\(0.00\x\);\-"/>
  </numFmts>
  <fonts count="31">
    <font>
      <sz val="11"/>
      <name val="Carlito"/>
    </font>
    <font>
      <sz val="11"/>
      <color rgb="FF26312F"/>
      <name val="Aptos"/>
      <family val="2"/>
    </font>
    <font>
      <sz val="11"/>
      <name val="Lato"/>
    </font>
    <font>
      <sz val="11"/>
      <color rgb="FF26312F"/>
      <name val="Lato"/>
    </font>
    <font>
      <b/>
      <sz val="11"/>
      <color rgb="FFFFFFFF"/>
      <name val="Lato"/>
    </font>
    <font>
      <b/>
      <sz val="24"/>
      <color rgb="FFFFFFFF"/>
      <name val="Lato"/>
    </font>
    <font>
      <i/>
      <sz val="10"/>
      <color rgb="FF5F6663"/>
      <name val="Lato"/>
    </font>
    <font>
      <i/>
      <sz val="10"/>
      <color theme="0"/>
      <name val="Lato"/>
    </font>
    <font>
      <b/>
      <sz val="14"/>
      <color rgb="FFFFFFFF"/>
      <name val="Lato"/>
    </font>
    <font>
      <sz val="12"/>
      <color rgb="FF0000FF"/>
      <name val="Lato"/>
    </font>
    <font>
      <i/>
      <sz val="10"/>
      <color rgb="FF025564"/>
      <name val="Lato"/>
    </font>
    <font>
      <sz val="11"/>
      <color rgb="FF025564"/>
      <name val="Lato"/>
    </font>
    <font>
      <b/>
      <sz val="11"/>
      <color rgb="FF025564"/>
      <name val="Lato"/>
    </font>
    <font>
      <b/>
      <sz val="20"/>
      <color theme="0"/>
      <name val="Lato"/>
    </font>
    <font>
      <sz val="11"/>
      <color theme="0"/>
      <name val="Lato"/>
    </font>
    <font>
      <sz val="11"/>
      <color theme="0"/>
      <name val="Carlito"/>
    </font>
    <font>
      <b/>
      <sz val="10"/>
      <color rgb="FF025564"/>
      <name val="Lato"/>
    </font>
    <font>
      <b/>
      <sz val="12"/>
      <color rgb="FF0000FF"/>
      <name val="Lato"/>
    </font>
    <font>
      <b/>
      <sz val="22"/>
      <color rgb="FF025564"/>
      <name val="Lato"/>
    </font>
    <font>
      <b/>
      <sz val="30"/>
      <color rgb="FFFFFFFF"/>
      <name val="Lato"/>
    </font>
    <font>
      <i/>
      <sz val="10"/>
      <color rgb="FFFFFFFF"/>
      <name val="Lato"/>
    </font>
    <font>
      <b/>
      <sz val="12"/>
      <color rgb="FFFFFFFF"/>
      <name val="Lato"/>
    </font>
    <font>
      <sz val="11"/>
      <color rgb="FF025564"/>
      <name val="Lato"/>
    </font>
    <font>
      <sz val="10"/>
      <color rgb="FF025564"/>
      <name val="Lato"/>
    </font>
    <font>
      <b/>
      <i/>
      <sz val="10"/>
      <color rgb="FFFFFFFF"/>
      <name val="Lato"/>
    </font>
    <font>
      <b/>
      <sz val="10"/>
      <color rgb="FFFFFFFF"/>
      <name val="Lato"/>
    </font>
    <font>
      <sz val="9"/>
      <color rgb="FF025564"/>
      <name val="Lato"/>
    </font>
    <font>
      <i/>
      <sz val="10"/>
      <color rgb="FF025564"/>
      <name val="Lato"/>
    </font>
    <font>
      <b/>
      <i/>
      <sz val="10"/>
      <color rgb="FF025564"/>
      <name val="Lato"/>
    </font>
    <font>
      <b/>
      <sz val="28"/>
      <color theme="0"/>
      <name val="Lato"/>
    </font>
    <font>
      <sz val="12"/>
      <color rgb="FFFFFFFF"/>
      <name val="Lato"/>
    </font>
  </fonts>
  <fills count="18">
    <fill>
      <patternFill patternType="none"/>
    </fill>
    <fill>
      <patternFill patternType="gray125"/>
    </fill>
    <fill>
      <patternFill patternType="solid">
        <fgColor rgb="FF025564"/>
      </patternFill>
    </fill>
    <fill>
      <patternFill patternType="solid">
        <fgColor rgb="FF025564"/>
      </patternFill>
    </fill>
    <fill>
      <patternFill patternType="solid">
        <fgColor rgb="FFFAF4E6"/>
      </patternFill>
    </fill>
    <fill>
      <patternFill patternType="solid">
        <fgColor rgb="FF037183"/>
      </patternFill>
    </fill>
    <fill>
      <patternFill patternType="solid">
        <fgColor rgb="FF025564"/>
      </patternFill>
    </fill>
    <fill>
      <patternFill patternType="solid">
        <fgColor rgb="FF037183"/>
      </patternFill>
    </fill>
    <fill>
      <patternFill patternType="solid">
        <fgColor rgb="FF037183"/>
      </patternFill>
    </fill>
    <fill>
      <patternFill patternType="solid">
        <fgColor rgb="FF025564"/>
      </patternFill>
    </fill>
    <fill>
      <patternFill patternType="solid">
        <fgColor rgb="FFFFF2CC"/>
      </patternFill>
    </fill>
    <fill>
      <patternFill patternType="solid">
        <fgColor rgb="FFFAF4E6"/>
      </patternFill>
    </fill>
    <fill>
      <patternFill patternType="solid">
        <fgColor rgb="FFD9E2F3"/>
      </patternFill>
    </fill>
    <fill>
      <patternFill patternType="solid">
        <fgColor rgb="FFD9EDEE"/>
      </patternFill>
    </fill>
    <fill>
      <patternFill patternType="solid">
        <fgColor rgb="FFE2F0D9"/>
      </patternFill>
    </fill>
    <fill>
      <patternFill patternType="solid">
        <fgColor rgb="FF037183"/>
        <bgColor indexed="64"/>
      </patternFill>
    </fill>
    <fill>
      <patternFill patternType="solid">
        <fgColor rgb="FF025564"/>
        <bgColor indexed="64"/>
      </patternFill>
    </fill>
    <fill>
      <patternFill patternType="solid">
        <fgColor rgb="FFFAF4E6"/>
        <bgColor indexed="64"/>
      </patternFill>
    </fill>
  </fills>
  <borders count="52">
    <border>
      <left/>
      <right/>
      <top/>
      <bottom/>
      <diagonal/>
    </border>
    <border>
      <left/>
      <right/>
      <top/>
      <bottom/>
      <diagonal/>
    </border>
    <border>
      <left style="thin">
        <color rgb="FF025564"/>
      </left>
      <right/>
      <top style="thin">
        <color rgb="FF025564"/>
      </top>
      <bottom style="thin">
        <color rgb="FF025564"/>
      </bottom>
      <diagonal/>
    </border>
    <border>
      <left/>
      <right/>
      <top style="thin">
        <color rgb="FF025564"/>
      </top>
      <bottom style="thin">
        <color rgb="FF025564"/>
      </bottom>
      <diagonal/>
    </border>
    <border>
      <left/>
      <right style="thin">
        <color rgb="FF025564"/>
      </right>
      <top style="thin">
        <color rgb="FF025564"/>
      </top>
      <bottom style="thin">
        <color rgb="FF025564"/>
      </bottom>
      <diagonal/>
    </border>
    <border>
      <left style="thin">
        <color rgb="FF025564"/>
      </left>
      <right/>
      <top style="thin">
        <color rgb="FF025564"/>
      </top>
      <bottom/>
      <diagonal/>
    </border>
    <border>
      <left/>
      <right/>
      <top style="thin">
        <color rgb="FF025564"/>
      </top>
      <bottom/>
      <diagonal/>
    </border>
    <border>
      <left/>
      <right style="thin">
        <color rgb="FF025564"/>
      </right>
      <top style="thin">
        <color rgb="FF0255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rgb="FF025564"/>
      </bottom>
      <diagonal/>
    </border>
    <border>
      <left/>
      <right/>
      <top/>
      <bottom/>
      <diagonal/>
    </border>
    <border>
      <left/>
      <right/>
      <top/>
      <bottom/>
      <diagonal/>
    </border>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medium">
        <color indexed="64"/>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87">
    <xf numFmtId="0" fontId="0" fillId="0" borderId="0" xfId="0"/>
    <xf numFmtId="0" fontId="3" fillId="0" borderId="0" xfId="0" applyFont="1" applyAlignment="1">
      <alignment vertical="center"/>
    </xf>
    <xf numFmtId="0" fontId="2" fillId="3" borderId="0" xfId="0" applyFont="1" applyFill="1"/>
    <xf numFmtId="0" fontId="6" fillId="3" borderId="0" xfId="0" applyFont="1" applyFill="1" applyAlignment="1">
      <alignment vertical="center" wrapText="1"/>
    </xf>
    <xf numFmtId="0" fontId="0" fillId="3" borderId="0" xfId="0" applyFill="1"/>
    <xf numFmtId="0" fontId="13" fillId="3" borderId="0" xfId="0" applyFont="1" applyFill="1" applyAlignment="1">
      <alignment vertical="center"/>
    </xf>
    <xf numFmtId="0" fontId="12" fillId="3" borderId="0" xfId="0" applyFont="1" applyFill="1" applyAlignment="1">
      <alignment vertical="center"/>
    </xf>
    <xf numFmtId="0" fontId="11" fillId="3" borderId="0" xfId="0" applyFont="1" applyFill="1"/>
    <xf numFmtId="0" fontId="11" fillId="3" borderId="1" xfId="0" applyFont="1" applyFill="1" applyBorder="1" applyAlignment="1">
      <alignment vertical="top" wrapText="1"/>
    </xf>
    <xf numFmtId="0" fontId="12" fillId="2" borderId="1" xfId="0" applyFont="1" applyFill="1" applyBorder="1" applyAlignment="1">
      <alignment vertical="center"/>
    </xf>
    <xf numFmtId="0" fontId="10" fillId="3" borderId="0" xfId="0" applyFont="1" applyFill="1" applyAlignment="1">
      <alignment vertical="center" wrapText="1"/>
    </xf>
    <xf numFmtId="0" fontId="1" fillId="3" borderId="0" xfId="0" applyFont="1" applyFill="1"/>
    <xf numFmtId="0" fontId="2" fillId="5" borderId="0" xfId="0" applyFont="1" applyFill="1"/>
    <xf numFmtId="0" fontId="0" fillId="5" borderId="0" xfId="0" applyFill="1"/>
    <xf numFmtId="0" fontId="6" fillId="5" borderId="0" xfId="0" applyFont="1" applyFill="1" applyAlignment="1">
      <alignment vertical="center" wrapText="1"/>
    </xf>
    <xf numFmtId="0" fontId="14" fillId="5" borderId="0" xfId="0" applyFont="1" applyFill="1"/>
    <xf numFmtId="0" fontId="15" fillId="5" borderId="0" xfId="0" applyFont="1" applyFill="1"/>
    <xf numFmtId="0" fontId="3" fillId="4" borderId="0" xfId="0" applyFont="1" applyFill="1" applyAlignment="1">
      <alignment vertical="center"/>
    </xf>
    <xf numFmtId="0" fontId="4" fillId="3" borderId="0" xfId="0" applyFont="1" applyFill="1" applyAlignment="1">
      <alignment vertical="center"/>
    </xf>
    <xf numFmtId="0" fontId="3" fillId="3" borderId="0" xfId="0" applyFont="1" applyFill="1" applyAlignment="1">
      <alignment vertical="center"/>
    </xf>
    <xf numFmtId="0" fontId="3" fillId="5" borderId="0" xfId="0" applyFont="1" applyFill="1" applyAlignment="1">
      <alignment vertical="center"/>
    </xf>
    <xf numFmtId="0" fontId="7" fillId="5" borderId="0" xfId="0" applyFont="1" applyFill="1" applyAlignment="1">
      <alignment horizontal="left" vertical="center" wrapText="1"/>
    </xf>
    <xf numFmtId="0" fontId="7" fillId="5" borderId="0" xfId="0" applyFont="1" applyFill="1" applyAlignment="1">
      <alignment vertical="center" wrapText="1"/>
    </xf>
    <xf numFmtId="0" fontId="10" fillId="5" borderId="0" xfId="0" applyFont="1" applyFill="1" applyAlignment="1">
      <alignment vertical="center" wrapText="1"/>
    </xf>
    <xf numFmtId="0" fontId="13" fillId="5" borderId="0" xfId="0" applyFont="1" applyFill="1" applyAlignment="1">
      <alignment vertical="center"/>
    </xf>
    <xf numFmtId="0" fontId="12" fillId="5" borderId="1" xfId="0" applyFont="1" applyFill="1" applyBorder="1" applyAlignment="1">
      <alignment vertical="center"/>
    </xf>
    <xf numFmtId="0" fontId="11" fillId="5" borderId="1" xfId="0" applyFont="1" applyFill="1" applyBorder="1" applyAlignment="1">
      <alignment vertical="top" wrapText="1"/>
    </xf>
    <xf numFmtId="0" fontId="12" fillId="5" borderId="0" xfId="0" applyFont="1" applyFill="1" applyAlignment="1">
      <alignment vertical="center"/>
    </xf>
    <xf numFmtId="0" fontId="11" fillId="5" borderId="0" xfId="0" applyFont="1" applyFill="1"/>
    <xf numFmtId="0" fontId="1" fillId="5" borderId="0" xfId="0" applyFont="1" applyFill="1"/>
    <xf numFmtId="0" fontId="4" fillId="6" borderId="0" xfId="0" applyFont="1" applyFill="1" applyAlignment="1">
      <alignment horizontal="left" vertical="center"/>
    </xf>
    <xf numFmtId="169" fontId="18" fillId="7" borderId="11" xfId="0" applyNumberFormat="1" applyFont="1" applyFill="1" applyBorder="1" applyAlignment="1">
      <alignment horizontal="center" vertical="center"/>
    </xf>
    <xf numFmtId="170" fontId="18" fillId="7" borderId="11" xfId="0" applyNumberFormat="1" applyFont="1" applyFill="1" applyBorder="1" applyAlignment="1">
      <alignment horizontal="center" vertical="center"/>
    </xf>
    <xf numFmtId="0" fontId="21" fillId="8" borderId="14" xfId="0" applyFont="1" applyFill="1" applyBorder="1" applyAlignment="1">
      <alignment horizontal="center" vertical="center" wrapText="1"/>
    </xf>
    <xf numFmtId="0" fontId="17" fillId="10" borderId="14" xfId="0" applyFont="1" applyFill="1" applyBorder="1" applyAlignment="1">
      <alignment horizontal="center" vertical="center" wrapText="1"/>
    </xf>
    <xf numFmtId="0" fontId="21" fillId="8" borderId="17" xfId="0" applyFont="1" applyFill="1" applyBorder="1" applyAlignment="1">
      <alignment horizontal="center" vertical="center" wrapText="1"/>
    </xf>
    <xf numFmtId="0" fontId="21" fillId="8" borderId="18" xfId="0" applyFont="1" applyFill="1" applyBorder="1" applyAlignment="1">
      <alignment horizontal="center" vertical="center" wrapText="1"/>
    </xf>
    <xf numFmtId="0" fontId="21" fillId="8" borderId="19" xfId="0" applyFont="1" applyFill="1" applyBorder="1" applyAlignment="1">
      <alignment horizontal="center" vertical="center" wrapText="1"/>
    </xf>
    <xf numFmtId="0" fontId="22" fillId="11" borderId="21" xfId="0" applyFont="1" applyFill="1" applyBorder="1" applyAlignment="1">
      <alignment horizontal="left" vertical="center" wrapText="1"/>
    </xf>
    <xf numFmtId="0" fontId="22" fillId="11" borderId="23" xfId="0" applyFont="1" applyFill="1" applyBorder="1" applyAlignment="1">
      <alignment horizontal="left" vertical="center" wrapText="1"/>
    </xf>
    <xf numFmtId="0" fontId="22" fillId="11" borderId="25" xfId="0" applyFont="1" applyFill="1" applyBorder="1" applyAlignment="1">
      <alignment horizontal="left" vertical="center" wrapText="1"/>
    </xf>
    <xf numFmtId="165" fontId="9" fillId="10" borderId="12" xfId="0" applyNumberFormat="1" applyFont="1" applyFill="1" applyBorder="1" applyAlignment="1">
      <alignment horizontal="center" vertical="center" wrapText="1"/>
    </xf>
    <xf numFmtId="164" fontId="9" fillId="10" borderId="12" xfId="0" applyNumberFormat="1" applyFont="1" applyFill="1" applyBorder="1" applyAlignment="1">
      <alignment horizontal="center" vertical="center" wrapText="1"/>
    </xf>
    <xf numFmtId="0" fontId="23" fillId="11" borderId="12" xfId="0" applyFont="1" applyFill="1" applyBorder="1" applyAlignment="1">
      <alignment horizontal="center" vertical="center" wrapText="1"/>
    </xf>
    <xf numFmtId="0" fontId="23" fillId="11" borderId="12" xfId="0" applyFont="1" applyFill="1" applyBorder="1" applyAlignment="1">
      <alignment horizontal="left" vertical="center" wrapText="1"/>
    </xf>
    <xf numFmtId="0" fontId="23" fillId="11" borderId="28" xfId="0" applyFont="1" applyFill="1" applyBorder="1" applyAlignment="1">
      <alignment horizontal="left" vertical="center" wrapText="1"/>
    </xf>
    <xf numFmtId="172" fontId="9" fillId="10" borderId="12" xfId="0" applyNumberFormat="1" applyFont="1" applyFill="1" applyBorder="1" applyAlignment="1">
      <alignment horizontal="center" vertical="center" wrapText="1"/>
    </xf>
    <xf numFmtId="165" fontId="9" fillId="10" borderId="28" xfId="0" applyNumberFormat="1" applyFont="1" applyFill="1" applyBorder="1" applyAlignment="1">
      <alignment horizontal="center" vertical="center" wrapText="1"/>
    </xf>
    <xf numFmtId="164" fontId="4" fillId="8" borderId="19" xfId="0" applyNumberFormat="1" applyFont="1" applyFill="1" applyBorder="1" applyAlignment="1">
      <alignment horizontal="center" vertical="center" wrapText="1"/>
    </xf>
    <xf numFmtId="0" fontId="4" fillId="8" borderId="19"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8" borderId="18" xfId="0" applyFont="1" applyFill="1" applyBorder="1" applyAlignment="1">
      <alignment horizontal="center" vertical="center" wrapText="1"/>
    </xf>
    <xf numFmtId="0" fontId="12" fillId="11" borderId="20" xfId="0" applyFont="1" applyFill="1" applyBorder="1" applyAlignment="1">
      <alignment horizontal="center" vertical="center" wrapText="1"/>
    </xf>
    <xf numFmtId="0" fontId="12" fillId="11" borderId="12" xfId="0" applyFont="1" applyFill="1" applyBorder="1" applyAlignment="1">
      <alignment horizontal="center" vertical="center" wrapText="1"/>
    </xf>
    <xf numFmtId="0" fontId="8" fillId="9" borderId="0" xfId="0" applyFont="1" applyFill="1" applyAlignment="1">
      <alignment horizontal="center" vertical="center" wrapText="1"/>
    </xf>
    <xf numFmtId="0" fontId="4" fillId="8" borderId="15" xfId="0" applyFont="1" applyFill="1" applyBorder="1" applyAlignment="1">
      <alignment horizontal="left" vertical="center" wrapText="1"/>
    </xf>
    <xf numFmtId="0" fontId="4" fillId="8" borderId="33" xfId="0" applyFont="1" applyFill="1" applyBorder="1" applyAlignment="1">
      <alignment horizontal="left" vertical="center" wrapText="1"/>
    </xf>
    <xf numFmtId="0" fontId="4" fillId="8" borderId="16" xfId="0" applyFont="1" applyFill="1" applyBorder="1" applyAlignment="1">
      <alignment horizontal="left" vertical="center" wrapText="1"/>
    </xf>
    <xf numFmtId="0" fontId="4" fillId="8" borderId="17" xfId="0" applyFont="1" applyFill="1" applyBorder="1" applyAlignment="1">
      <alignment horizontal="left" vertical="center" wrapText="1"/>
    </xf>
    <xf numFmtId="0" fontId="4" fillId="8" borderId="19" xfId="0" applyFont="1" applyFill="1" applyBorder="1" applyAlignment="1">
      <alignment horizontal="left" vertical="center" wrapText="1"/>
    </xf>
    <xf numFmtId="164" fontId="4" fillId="8" borderId="19" xfId="0" applyNumberFormat="1" applyFont="1" applyFill="1" applyBorder="1" applyAlignment="1">
      <alignment horizontal="left" vertical="center" wrapText="1"/>
    </xf>
    <xf numFmtId="0" fontId="4" fillId="8" borderId="18" xfId="0" applyFont="1" applyFill="1" applyBorder="1" applyAlignment="1">
      <alignment horizontal="left" vertical="center" wrapText="1"/>
    </xf>
    <xf numFmtId="0" fontId="22" fillId="11" borderId="12" xfId="0" applyFont="1" applyFill="1" applyBorder="1" applyAlignment="1">
      <alignment horizontal="center" vertical="center" wrapText="1"/>
    </xf>
    <xf numFmtId="0" fontId="12" fillId="11" borderId="20" xfId="0" applyFont="1" applyFill="1" applyBorder="1" applyAlignment="1">
      <alignment horizontal="left" vertical="center" wrapText="1"/>
    </xf>
    <xf numFmtId="0" fontId="12" fillId="11" borderId="22" xfId="0" applyFont="1" applyFill="1" applyBorder="1" applyAlignment="1">
      <alignment horizontal="left" vertical="center" wrapText="1"/>
    </xf>
    <xf numFmtId="0" fontId="12" fillId="11" borderId="24" xfId="0" applyFont="1" applyFill="1" applyBorder="1" applyAlignment="1">
      <alignment horizontal="left" vertical="center" wrapText="1"/>
    </xf>
    <xf numFmtId="164" fontId="22" fillId="11" borderId="12" xfId="0" applyNumberFormat="1" applyFont="1" applyFill="1" applyBorder="1" applyAlignment="1">
      <alignment horizontal="right" vertical="center" wrapText="1"/>
    </xf>
    <xf numFmtId="165" fontId="22" fillId="11" borderId="12" xfId="0" applyNumberFormat="1" applyFont="1" applyFill="1" applyBorder="1" applyAlignment="1">
      <alignment horizontal="right" vertical="center" wrapText="1"/>
    </xf>
    <xf numFmtId="173" fontId="22" fillId="11" borderId="12" xfId="0" applyNumberFormat="1" applyFont="1" applyFill="1" applyBorder="1" applyAlignment="1">
      <alignment horizontal="right" vertical="center" wrapText="1"/>
    </xf>
    <xf numFmtId="0" fontId="12" fillId="13" borderId="17" xfId="0" applyFont="1" applyFill="1" applyBorder="1" applyAlignment="1">
      <alignment horizontal="center" vertical="center" wrapText="1"/>
    </xf>
    <xf numFmtId="164" fontId="22" fillId="11" borderId="12" xfId="0" applyNumberFormat="1" applyFont="1" applyFill="1" applyBorder="1" applyAlignment="1">
      <alignment horizontal="center" vertical="center" wrapText="1"/>
    </xf>
    <xf numFmtId="164" fontId="12" fillId="11" borderId="12" xfId="0" applyNumberFormat="1" applyFont="1" applyFill="1" applyBorder="1" applyAlignment="1">
      <alignment horizontal="center" vertical="center" wrapText="1"/>
    </xf>
    <xf numFmtId="0" fontId="21" fillId="9" borderId="0" xfId="0" applyFont="1" applyFill="1" applyAlignment="1">
      <alignment horizontal="center" vertical="center" wrapText="1"/>
    </xf>
    <xf numFmtId="0" fontId="12" fillId="11" borderId="22" xfId="0" applyFont="1" applyFill="1" applyBorder="1" applyAlignment="1">
      <alignment horizontal="center" vertical="center" wrapText="1"/>
    </xf>
    <xf numFmtId="0" fontId="12" fillId="11" borderId="24"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5" fillId="8" borderId="19" xfId="0" applyFont="1" applyFill="1" applyBorder="1" applyAlignment="1">
      <alignment horizontal="center" vertical="center" wrapText="1"/>
    </xf>
    <xf numFmtId="0" fontId="25" fillId="8" borderId="18" xfId="0" applyFont="1" applyFill="1" applyBorder="1" applyAlignment="1">
      <alignment horizontal="center" vertical="center" wrapText="1"/>
    </xf>
    <xf numFmtId="0" fontId="26" fillId="11" borderId="20" xfId="0" applyFont="1" applyFill="1" applyBorder="1" applyAlignment="1">
      <alignment horizontal="left" vertical="center" wrapText="1"/>
    </xf>
    <xf numFmtId="0" fontId="26" fillId="11" borderId="26" xfId="0" applyFont="1" applyFill="1" applyBorder="1" applyAlignment="1">
      <alignment horizontal="left" vertical="center" wrapText="1"/>
    </xf>
    <xf numFmtId="0" fontId="26" fillId="11" borderId="21" xfId="0" applyFont="1" applyFill="1" applyBorder="1" applyAlignment="1">
      <alignment horizontal="left" vertical="center" wrapText="1"/>
    </xf>
    <xf numFmtId="0" fontId="26" fillId="11" borderId="22" xfId="0" applyFont="1" applyFill="1" applyBorder="1" applyAlignment="1">
      <alignment horizontal="left" vertical="center" wrapText="1"/>
    </xf>
    <xf numFmtId="0" fontId="26" fillId="11" borderId="8" xfId="0" applyFont="1" applyFill="1" applyBorder="1" applyAlignment="1">
      <alignment horizontal="left" vertical="center" wrapText="1"/>
    </xf>
    <xf numFmtId="0" fontId="26" fillId="11" borderId="23" xfId="0" applyFont="1" applyFill="1" applyBorder="1" applyAlignment="1">
      <alignment horizontal="left" vertical="center" wrapText="1"/>
    </xf>
    <xf numFmtId="0" fontId="26" fillId="11" borderId="12" xfId="0" applyFont="1" applyFill="1" applyBorder="1" applyAlignment="1">
      <alignment horizontal="left" vertical="center" wrapText="1"/>
    </xf>
    <xf numFmtId="164" fontId="4" fillId="8" borderId="17" xfId="0" applyNumberFormat="1" applyFont="1" applyFill="1" applyBorder="1" applyAlignment="1">
      <alignment horizontal="left" vertical="center" wrapText="1"/>
    </xf>
    <xf numFmtId="164" fontId="4" fillId="8" borderId="18" xfId="0" applyNumberFormat="1" applyFont="1" applyFill="1" applyBorder="1" applyAlignment="1">
      <alignment horizontal="left" vertical="center" wrapText="1"/>
    </xf>
    <xf numFmtId="0" fontId="24" fillId="9" borderId="2" xfId="0" applyFont="1" applyFill="1" applyBorder="1" applyAlignment="1">
      <alignment horizontal="center" vertical="center" wrapText="1"/>
    </xf>
    <xf numFmtId="0" fontId="24" fillId="9" borderId="3" xfId="0" applyFont="1" applyFill="1" applyBorder="1" applyAlignment="1">
      <alignment horizontal="center" vertical="center" wrapText="1"/>
    </xf>
    <xf numFmtId="0" fontId="24"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9" borderId="0" xfId="0" applyFont="1" applyFill="1" applyAlignment="1">
      <alignment horizontal="center" vertical="center" wrapText="1"/>
    </xf>
    <xf numFmtId="0" fontId="12" fillId="13" borderId="19" xfId="0" applyFont="1" applyFill="1" applyBorder="1" applyAlignment="1">
      <alignment horizontal="center" vertical="center" wrapText="1"/>
    </xf>
    <xf numFmtId="0" fontId="12" fillId="13" borderId="18" xfId="0" applyFont="1" applyFill="1" applyBorder="1" applyAlignment="1">
      <alignment horizontal="center" vertical="center" wrapText="1"/>
    </xf>
    <xf numFmtId="0" fontId="16" fillId="9" borderId="42" xfId="0" applyFont="1" applyFill="1" applyBorder="1" applyAlignment="1">
      <alignment horizontal="left" vertical="center" wrapText="1"/>
    </xf>
    <xf numFmtId="0" fontId="16" fillId="9" borderId="43" xfId="0" applyFont="1" applyFill="1" applyBorder="1" applyAlignment="1">
      <alignment horizontal="left" vertical="center" wrapText="1"/>
    </xf>
    <xf numFmtId="0" fontId="16" fillId="9" borderId="44" xfId="0" applyFont="1" applyFill="1" applyBorder="1" applyAlignment="1">
      <alignment horizontal="left" vertical="center" wrapText="1"/>
    </xf>
    <xf numFmtId="0" fontId="19" fillId="8" borderId="0" xfId="0" applyFont="1" applyFill="1" applyAlignment="1">
      <alignment horizontal="center" vertical="center"/>
    </xf>
    <xf numFmtId="0" fontId="20" fillId="9" borderId="0" xfId="0" applyFont="1" applyFill="1" applyAlignment="1">
      <alignment horizontal="center" vertical="center" wrapText="1"/>
    </xf>
    <xf numFmtId="0" fontId="21" fillId="8" borderId="15" xfId="0" applyFont="1" applyFill="1" applyBorder="1" applyAlignment="1">
      <alignment horizontal="center" vertical="center" wrapText="1"/>
    </xf>
    <xf numFmtId="0" fontId="21" fillId="8" borderId="16" xfId="0" applyFont="1" applyFill="1" applyBorder="1" applyAlignment="1">
      <alignment horizontal="center" vertical="center" wrapText="1"/>
    </xf>
    <xf numFmtId="0" fontId="21" fillId="8" borderId="17" xfId="0" applyFont="1" applyFill="1" applyBorder="1" applyAlignment="1">
      <alignment horizontal="center" vertical="center" wrapText="1"/>
    </xf>
    <xf numFmtId="0" fontId="21" fillId="8" borderId="18" xfId="0" applyFont="1" applyFill="1" applyBorder="1" applyAlignment="1">
      <alignment horizontal="center" vertical="center" wrapText="1"/>
    </xf>
    <xf numFmtId="0" fontId="20" fillId="9" borderId="0" xfId="0" applyFont="1" applyFill="1" applyAlignment="1">
      <alignment horizontal="left" vertical="center" wrapText="1"/>
    </xf>
    <xf numFmtId="0" fontId="27" fillId="11" borderId="17" xfId="0" applyFont="1" applyFill="1" applyBorder="1" applyAlignment="1">
      <alignment horizontal="left" vertical="center" wrapText="1"/>
    </xf>
    <xf numFmtId="0" fontId="27" fillId="11" borderId="18" xfId="0" applyFont="1" applyFill="1" applyBorder="1" applyAlignment="1">
      <alignment horizontal="left" vertical="center" wrapText="1"/>
    </xf>
    <xf numFmtId="49" fontId="28" fillId="11" borderId="17" xfId="0" applyNumberFormat="1" applyFont="1" applyFill="1" applyBorder="1" applyAlignment="1">
      <alignment horizontal="left" vertical="center" wrapText="1"/>
    </xf>
    <xf numFmtId="49" fontId="28" fillId="11" borderId="19" xfId="0" applyNumberFormat="1" applyFont="1" applyFill="1" applyBorder="1" applyAlignment="1">
      <alignment horizontal="left" vertical="center" wrapText="1"/>
    </xf>
    <xf numFmtId="49" fontId="28" fillId="11" borderId="18" xfId="0" applyNumberFormat="1" applyFont="1" applyFill="1" applyBorder="1" applyAlignment="1">
      <alignment horizontal="left" vertical="center" wrapText="1"/>
    </xf>
    <xf numFmtId="0" fontId="27" fillId="11" borderId="19" xfId="0" applyFont="1" applyFill="1" applyBorder="1" applyAlignment="1">
      <alignment horizontal="left" vertical="center" wrapText="1"/>
    </xf>
    <xf numFmtId="0" fontId="5" fillId="8" borderId="0" xfId="0" applyFont="1" applyFill="1" applyAlignment="1">
      <alignment horizontal="center" vertical="center"/>
    </xf>
    <xf numFmtId="0" fontId="21" fillId="9" borderId="0" xfId="0" applyFont="1" applyFill="1" applyAlignment="1">
      <alignment horizontal="center" vertical="center" wrapText="1"/>
    </xf>
    <xf numFmtId="0" fontId="22" fillId="11" borderId="35"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29" xfId="0" applyFont="1" applyFill="1" applyBorder="1" applyAlignment="1">
      <alignment horizontal="left" vertical="center" wrapText="1"/>
    </xf>
    <xf numFmtId="0" fontId="22" fillId="11" borderId="30" xfId="0" applyFont="1" applyFill="1" applyBorder="1" applyAlignment="1">
      <alignment horizontal="left" vertical="center" wrapText="1"/>
    </xf>
    <xf numFmtId="0" fontId="22" fillId="11" borderId="31" xfId="0" applyFont="1" applyFill="1" applyBorder="1" applyAlignment="1">
      <alignment horizontal="left" vertical="center" wrapText="1"/>
    </xf>
    <xf numFmtId="0" fontId="22" fillId="11" borderId="32" xfId="0" applyFont="1" applyFill="1" applyBorder="1" applyAlignment="1">
      <alignment horizontal="left" vertical="center" wrapText="1"/>
    </xf>
    <xf numFmtId="0" fontId="21" fillId="9" borderId="10" xfId="0" applyFont="1" applyFill="1" applyBorder="1" applyAlignment="1">
      <alignment horizontal="center" vertical="center" wrapText="1"/>
    </xf>
    <xf numFmtId="0" fontId="21" fillId="9" borderId="9" xfId="0" applyFont="1" applyFill="1" applyBorder="1" applyAlignment="1">
      <alignment horizontal="center" vertical="center" wrapText="1"/>
    </xf>
    <xf numFmtId="0" fontId="0" fillId="15" borderId="0" xfId="0" applyFill="1"/>
    <xf numFmtId="0" fontId="29" fillId="15" borderId="44" xfId="0" applyFont="1" applyFill="1" applyBorder="1" applyAlignment="1">
      <alignment horizontal="center" vertical="center"/>
    </xf>
    <xf numFmtId="0" fontId="29" fillId="15" borderId="13" xfId="0" applyFont="1" applyFill="1" applyBorder="1" applyAlignment="1">
      <alignment horizontal="center" vertical="center"/>
    </xf>
    <xf numFmtId="0" fontId="17" fillId="10" borderId="12" xfId="0" applyFont="1" applyFill="1" applyBorder="1" applyAlignment="1">
      <alignment horizontal="center" vertical="center" wrapText="1"/>
    </xf>
    <xf numFmtId="164" fontId="17" fillId="10" borderId="12" xfId="0" applyNumberFormat="1" applyFont="1" applyFill="1" applyBorder="1" applyAlignment="1">
      <alignment horizontal="center" vertical="center" wrapText="1"/>
    </xf>
    <xf numFmtId="165" fontId="17" fillId="10" borderId="12" xfId="0" applyNumberFormat="1" applyFont="1" applyFill="1" applyBorder="1" applyAlignment="1">
      <alignment horizontal="center" vertical="center" wrapText="1"/>
    </xf>
    <xf numFmtId="0" fontId="9" fillId="10" borderId="12" xfId="0" applyFont="1" applyFill="1" applyBorder="1" applyAlignment="1">
      <alignment horizontal="center" vertical="center" wrapText="1"/>
    </xf>
    <xf numFmtId="164" fontId="12" fillId="11" borderId="12" xfId="0" applyNumberFormat="1" applyFont="1" applyFill="1" applyBorder="1" applyAlignment="1">
      <alignment horizontal="right" vertical="center" wrapText="1"/>
    </xf>
    <xf numFmtId="0" fontId="0" fillId="16" borderId="0" xfId="0" applyFill="1"/>
    <xf numFmtId="0" fontId="2" fillId="16" borderId="0" xfId="0" applyFont="1" applyFill="1"/>
    <xf numFmtId="0" fontId="4" fillId="9" borderId="44" xfId="0" applyFont="1" applyFill="1" applyBorder="1" applyAlignment="1">
      <alignment horizontal="left" vertical="center" wrapText="1"/>
    </xf>
    <xf numFmtId="171" fontId="4" fillId="9" borderId="44" xfId="0" applyNumberFormat="1" applyFont="1" applyFill="1" applyBorder="1" applyAlignment="1">
      <alignment horizontal="left" vertical="center" wrapText="1"/>
    </xf>
    <xf numFmtId="0" fontId="22" fillId="11" borderId="12" xfId="0" applyFont="1" applyFill="1" applyBorder="1" applyAlignment="1">
      <alignment horizontal="left" vertical="center" wrapText="1"/>
    </xf>
    <xf numFmtId="0" fontId="22" fillId="11" borderId="28" xfId="0" applyFont="1" applyFill="1" applyBorder="1" applyAlignment="1">
      <alignment horizontal="left" vertical="center" wrapText="1"/>
    </xf>
    <xf numFmtId="0" fontId="23" fillId="11" borderId="28" xfId="0" applyFont="1" applyFill="1" applyBorder="1" applyAlignment="1">
      <alignment horizontal="center" vertical="center" wrapText="1"/>
    </xf>
    <xf numFmtId="0" fontId="21" fillId="9" borderId="44" xfId="0" applyFont="1" applyFill="1" applyBorder="1" applyAlignment="1">
      <alignment horizontal="left" vertical="center" wrapText="1"/>
    </xf>
    <xf numFmtId="164" fontId="21" fillId="9" borderId="44" xfId="0" applyNumberFormat="1" applyFont="1" applyFill="1" applyBorder="1" applyAlignment="1">
      <alignment horizontal="left" vertical="center" wrapText="1"/>
    </xf>
    <xf numFmtId="0" fontId="12" fillId="11" borderId="12" xfId="0" applyFont="1" applyFill="1" applyBorder="1" applyAlignment="1">
      <alignment horizontal="left" vertical="center" wrapText="1"/>
    </xf>
    <xf numFmtId="169" fontId="12" fillId="11" borderId="12" xfId="0" applyNumberFormat="1" applyFont="1" applyFill="1" applyBorder="1" applyAlignment="1">
      <alignment horizontal="right" vertical="center" wrapText="1"/>
    </xf>
    <xf numFmtId="174" fontId="12" fillId="11" borderId="12" xfId="0" applyNumberFormat="1" applyFont="1" applyFill="1" applyBorder="1" applyAlignment="1">
      <alignment horizontal="right" vertical="center" wrapText="1"/>
    </xf>
    <xf numFmtId="164" fontId="22" fillId="12" borderId="12" xfId="0" applyNumberFormat="1" applyFont="1" applyFill="1" applyBorder="1" applyAlignment="1">
      <alignment horizontal="right" vertical="center" wrapText="1"/>
    </xf>
    <xf numFmtId="164" fontId="22" fillId="11" borderId="12" xfId="0" applyNumberFormat="1" applyFont="1" applyFill="1" applyBorder="1" applyAlignment="1">
      <alignment horizontal="right" vertical="center" wrapText="1"/>
    </xf>
    <xf numFmtId="0" fontId="12" fillId="14" borderId="12" xfId="0" applyFont="1" applyFill="1" applyBorder="1" applyAlignment="1">
      <alignment horizontal="left" vertical="center" wrapText="1"/>
    </xf>
    <xf numFmtId="164" fontId="12" fillId="14" borderId="12" xfId="0" applyNumberFormat="1" applyFont="1" applyFill="1" applyBorder="1" applyAlignment="1">
      <alignment horizontal="right" vertical="center" wrapText="1"/>
    </xf>
    <xf numFmtId="0" fontId="8" fillId="9" borderId="44" xfId="0" applyFont="1" applyFill="1" applyBorder="1" applyAlignment="1">
      <alignment horizontal="center" vertical="center" wrapText="1"/>
    </xf>
    <xf numFmtId="164" fontId="18" fillId="11" borderId="44" xfId="0" applyNumberFormat="1" applyFont="1" applyFill="1" applyBorder="1" applyAlignment="1">
      <alignment horizontal="center" vertical="center"/>
    </xf>
    <xf numFmtId="165" fontId="18" fillId="11" borderId="44" xfId="0" applyNumberFormat="1" applyFont="1" applyFill="1" applyBorder="1" applyAlignment="1">
      <alignment horizontal="center" vertical="center"/>
    </xf>
    <xf numFmtId="164" fontId="18" fillId="11" borderId="45" xfId="0" applyNumberFormat="1" applyFont="1" applyFill="1" applyBorder="1" applyAlignment="1">
      <alignment horizontal="center" vertical="center"/>
    </xf>
    <xf numFmtId="164" fontId="18" fillId="11" borderId="46" xfId="0" applyNumberFormat="1" applyFont="1" applyFill="1" applyBorder="1" applyAlignment="1">
      <alignment horizontal="center" vertical="center"/>
    </xf>
    <xf numFmtId="164" fontId="18" fillId="11" borderId="47" xfId="0" applyNumberFormat="1" applyFont="1" applyFill="1" applyBorder="1" applyAlignment="1">
      <alignment horizontal="center" vertical="center"/>
    </xf>
    <xf numFmtId="164" fontId="18" fillId="11" borderId="48" xfId="0" applyNumberFormat="1" applyFont="1" applyFill="1" applyBorder="1" applyAlignment="1">
      <alignment horizontal="center" vertical="center"/>
    </xf>
    <xf numFmtId="164" fontId="18" fillId="11" borderId="49" xfId="0" applyNumberFormat="1" applyFont="1" applyFill="1" applyBorder="1" applyAlignment="1">
      <alignment horizontal="center" vertical="center"/>
    </xf>
    <xf numFmtId="164" fontId="18" fillId="11" borderId="50" xfId="0" applyNumberFormat="1" applyFont="1" applyFill="1" applyBorder="1" applyAlignment="1">
      <alignment horizontal="center" vertical="center"/>
    </xf>
    <xf numFmtId="164" fontId="18" fillId="11" borderId="34" xfId="0" applyNumberFormat="1" applyFont="1" applyFill="1" applyBorder="1" applyAlignment="1">
      <alignment horizontal="center" vertical="center"/>
    </xf>
    <xf numFmtId="164" fontId="18" fillId="11" borderId="51" xfId="0" applyNumberFormat="1" applyFont="1" applyFill="1" applyBorder="1" applyAlignment="1">
      <alignment horizontal="center" vertical="center"/>
    </xf>
    <xf numFmtId="165" fontId="18" fillId="11" borderId="45" xfId="0" applyNumberFormat="1" applyFont="1" applyFill="1" applyBorder="1" applyAlignment="1">
      <alignment horizontal="center" vertical="center"/>
    </xf>
    <xf numFmtId="165" fontId="18" fillId="11" borderId="46" xfId="0" applyNumberFormat="1" applyFont="1" applyFill="1" applyBorder="1" applyAlignment="1">
      <alignment horizontal="center" vertical="center"/>
    </xf>
    <xf numFmtId="165" fontId="18" fillId="11" borderId="47" xfId="0" applyNumberFormat="1" applyFont="1" applyFill="1" applyBorder="1" applyAlignment="1">
      <alignment horizontal="center" vertical="center"/>
    </xf>
    <xf numFmtId="165" fontId="18" fillId="11" borderId="48" xfId="0" applyNumberFormat="1" applyFont="1" applyFill="1" applyBorder="1" applyAlignment="1">
      <alignment horizontal="center" vertical="center"/>
    </xf>
    <xf numFmtId="165" fontId="18" fillId="11" borderId="49" xfId="0" applyNumberFormat="1" applyFont="1" applyFill="1" applyBorder="1" applyAlignment="1">
      <alignment horizontal="center" vertical="center"/>
    </xf>
    <xf numFmtId="165" fontId="18" fillId="11" borderId="50" xfId="0" applyNumberFormat="1" applyFont="1" applyFill="1" applyBorder="1" applyAlignment="1">
      <alignment horizontal="center" vertical="center"/>
    </xf>
    <xf numFmtId="165" fontId="18" fillId="11" borderId="34" xfId="0" applyNumberFormat="1" applyFont="1" applyFill="1" applyBorder="1" applyAlignment="1">
      <alignment horizontal="center" vertical="center"/>
    </xf>
    <xf numFmtId="165" fontId="18" fillId="11" borderId="51" xfId="0" applyNumberFormat="1" applyFont="1" applyFill="1" applyBorder="1" applyAlignment="1">
      <alignment horizontal="center" vertical="center"/>
    </xf>
    <xf numFmtId="165" fontId="12" fillId="11" borderId="12" xfId="0" applyNumberFormat="1" applyFont="1" applyFill="1" applyBorder="1" applyAlignment="1">
      <alignment horizontal="center" vertical="center" wrapText="1"/>
    </xf>
    <xf numFmtId="176" fontId="12" fillId="11" borderId="12" xfId="0" applyNumberFormat="1" applyFont="1" applyFill="1" applyBorder="1" applyAlignment="1">
      <alignment horizontal="right" vertical="center" wrapText="1"/>
    </xf>
    <xf numFmtId="176" fontId="18" fillId="11" borderId="45" xfId="0" applyNumberFormat="1" applyFont="1" applyFill="1" applyBorder="1" applyAlignment="1">
      <alignment horizontal="center" vertical="center"/>
    </xf>
    <xf numFmtId="176" fontId="18" fillId="11" borderId="46" xfId="0" applyNumberFormat="1" applyFont="1" applyFill="1" applyBorder="1" applyAlignment="1">
      <alignment horizontal="center" vertical="center"/>
    </xf>
    <xf numFmtId="176" fontId="18" fillId="11" borderId="47" xfId="0" applyNumberFormat="1" applyFont="1" applyFill="1" applyBorder="1" applyAlignment="1">
      <alignment horizontal="center" vertical="center"/>
    </xf>
    <xf numFmtId="176" fontId="18" fillId="11" borderId="48" xfId="0" applyNumberFormat="1" applyFont="1" applyFill="1" applyBorder="1" applyAlignment="1">
      <alignment horizontal="center" vertical="center"/>
    </xf>
    <xf numFmtId="176" fontId="18" fillId="11" borderId="44" xfId="0" applyNumberFormat="1" applyFont="1" applyFill="1" applyBorder="1" applyAlignment="1">
      <alignment horizontal="center" vertical="center"/>
    </xf>
    <xf numFmtId="176" fontId="18" fillId="11" borderId="49" xfId="0" applyNumberFormat="1" applyFont="1" applyFill="1" applyBorder="1" applyAlignment="1">
      <alignment horizontal="center" vertical="center"/>
    </xf>
    <xf numFmtId="176" fontId="18" fillId="11" borderId="50" xfId="0" applyNumberFormat="1" applyFont="1" applyFill="1" applyBorder="1" applyAlignment="1">
      <alignment horizontal="center" vertical="center"/>
    </xf>
    <xf numFmtId="176" fontId="18" fillId="11" borderId="34" xfId="0" applyNumberFormat="1" applyFont="1" applyFill="1" applyBorder="1" applyAlignment="1">
      <alignment horizontal="center" vertical="center"/>
    </xf>
    <xf numFmtId="176" fontId="18" fillId="11" borderId="51" xfId="0" applyNumberFormat="1" applyFont="1" applyFill="1" applyBorder="1" applyAlignment="1">
      <alignment horizontal="center" vertical="center"/>
    </xf>
    <xf numFmtId="0" fontId="30" fillId="9" borderId="37" xfId="0" applyFont="1" applyFill="1" applyBorder="1" applyAlignment="1">
      <alignment horizontal="left" vertical="center" wrapText="1"/>
    </xf>
    <xf numFmtId="0" fontId="30" fillId="9" borderId="33" xfId="0" applyFont="1" applyFill="1" applyBorder="1" applyAlignment="1">
      <alignment horizontal="left" vertical="center" wrapText="1"/>
    </xf>
    <xf numFmtId="0" fontId="30" fillId="9" borderId="38" xfId="0" applyFont="1" applyFill="1" applyBorder="1" applyAlignment="1">
      <alignment horizontal="left" vertical="center" wrapText="1"/>
    </xf>
    <xf numFmtId="0" fontId="30" fillId="9" borderId="39" xfId="0" applyFont="1" applyFill="1" applyBorder="1" applyAlignment="1">
      <alignment horizontal="left" vertical="center" wrapText="1"/>
    </xf>
    <xf numFmtId="0" fontId="30" fillId="9" borderId="40" xfId="0" applyFont="1" applyFill="1" applyBorder="1" applyAlignment="1">
      <alignment horizontal="left" vertical="center" wrapText="1"/>
    </xf>
    <xf numFmtId="0" fontId="30" fillId="9" borderId="41" xfId="0" applyFont="1" applyFill="1" applyBorder="1" applyAlignment="1">
      <alignment horizontal="left" vertical="center" wrapText="1"/>
    </xf>
    <xf numFmtId="170" fontId="18" fillId="15" borderId="11" xfId="0" applyNumberFormat="1" applyFont="1" applyFill="1" applyBorder="1" applyAlignment="1">
      <alignment horizontal="center" vertical="center"/>
    </xf>
    <xf numFmtId="0" fontId="22" fillId="17" borderId="12" xfId="0" applyFont="1" applyFill="1" applyBorder="1" applyAlignment="1">
      <alignment horizontal="left" vertical="center" wrapText="1"/>
    </xf>
    <xf numFmtId="0" fontId="21" fillId="9" borderId="27" xfId="0" applyFont="1" applyFill="1" applyBorder="1" applyAlignment="1">
      <alignment horizontal="left" vertical="center" wrapText="1"/>
    </xf>
    <xf numFmtId="169" fontId="22" fillId="11" borderId="12" xfId="0" applyNumberFormat="1" applyFont="1" applyFill="1" applyBorder="1" applyAlignment="1">
      <alignment horizontal="center" vertical="center" wrapText="1"/>
    </xf>
    <xf numFmtId="174" fontId="22" fillId="11" borderId="12" xfId="0" applyNumberFormat="1" applyFont="1" applyFill="1" applyBorder="1" applyAlignment="1">
      <alignment horizontal="center" vertical="center" wrapText="1"/>
    </xf>
  </cellXfs>
  <cellStyles count="1">
    <cellStyle name="Normal" xfId="0" builtinId="0"/>
  </cellStyles>
  <dxfs count="68">
    <dxf>
      <font>
        <b/>
        <color rgb="FF025564"/>
        <name val="Lato"/>
      </font>
      <fill>
        <patternFill patternType="solid">
          <bgColor rgb="FFE2F0D9"/>
        </patternFill>
      </fill>
    </dxf>
    <dxf>
      <font>
        <b/>
        <color rgb="FF025564"/>
        <name val="Lato"/>
      </font>
      <fill>
        <patternFill patternType="solid">
          <bgColor rgb="FFFFF2CC"/>
        </patternFill>
      </fill>
    </dxf>
    <dxf>
      <font>
        <b/>
        <color rgb="FF025564"/>
        <name val="Lato"/>
      </font>
      <fill>
        <patternFill patternType="solid">
          <bgColor rgb="FFF4CCCC"/>
        </patternFill>
      </fill>
    </dxf>
    <dxf>
      <font>
        <b/>
        <color rgb="FF025564"/>
        <name val="Lato"/>
      </font>
      <fill>
        <patternFill patternType="solid">
          <bgColor rgb="FFE2F0D9"/>
        </patternFill>
      </fill>
    </dxf>
    <dxf>
      <font>
        <b/>
        <color rgb="FF025564"/>
        <name val="Lato"/>
      </font>
      <fill>
        <patternFill patternType="solid">
          <bgColor rgb="FFFFF2CC"/>
        </patternFill>
      </fill>
    </dxf>
    <dxf>
      <font>
        <b/>
        <color rgb="FF025564"/>
        <name val="Lato"/>
      </font>
      <fill>
        <patternFill patternType="solid">
          <bgColor rgb="FFF4CCCC"/>
        </patternFill>
      </fill>
    </dxf>
    <dxf>
      <fill>
        <patternFill>
          <bgColor rgb="FFF4CCCC"/>
        </patternFill>
      </fill>
    </dxf>
    <dxf>
      <fill>
        <patternFill>
          <bgColor rgb="FFFFF2CC"/>
        </patternFill>
      </fill>
    </dxf>
    <dxf>
      <fill>
        <patternFill>
          <bgColor rgb="FFE2F0D9"/>
        </patternFill>
      </fill>
    </dxf>
    <dxf>
      <font>
        <b/>
        <color rgb="FF025564"/>
        <name val="Lato"/>
      </font>
      <fill>
        <patternFill patternType="solid">
          <bgColor rgb="FFE2F0D9"/>
        </patternFill>
      </fill>
    </dxf>
    <dxf>
      <font>
        <b/>
        <color rgb="FF025564"/>
        <name val="Lato"/>
      </font>
      <fill>
        <patternFill patternType="solid">
          <bgColor rgb="FFFFF2CC"/>
        </patternFill>
      </fill>
    </dxf>
    <dxf>
      <font>
        <b/>
        <color rgb="FF025564"/>
        <name val="Lato"/>
      </font>
      <fill>
        <patternFill patternType="solid">
          <bgColor rgb="FFF4CCCC"/>
        </patternFill>
      </fill>
    </dxf>
    <dxf>
      <font>
        <b/>
        <color rgb="FF025564"/>
        <name val="Lato"/>
      </font>
      <fill>
        <patternFill patternType="solid">
          <bgColor rgb="FFE2F0D9"/>
        </patternFill>
      </fill>
    </dxf>
    <dxf>
      <font>
        <b/>
        <color rgb="FF025564"/>
        <name val="Lato"/>
      </font>
      <fill>
        <patternFill patternType="solid">
          <bgColor rgb="FFFFF2CC"/>
        </patternFill>
      </fill>
    </dxf>
    <dxf>
      <font>
        <b/>
        <color rgb="FF025564"/>
        <name val="Lato"/>
      </font>
      <fill>
        <patternFill patternType="solid">
          <bgColor rgb="FFF4CCCC"/>
        </patternFill>
      </fill>
    </dxf>
    <dxf>
      <fill>
        <patternFill>
          <bgColor rgb="FFF4CCCC"/>
        </patternFill>
      </fill>
    </dxf>
    <dxf>
      <fill>
        <patternFill>
          <bgColor rgb="FFFFF2CC"/>
        </patternFill>
      </fill>
    </dxf>
    <dxf>
      <font>
        <b/>
        <color rgb="FF025564"/>
        <name val="Lato"/>
      </font>
      <fill>
        <patternFill patternType="solid">
          <bgColor rgb="FFE2F0D9"/>
        </patternFill>
      </fill>
    </dxf>
    <dxf>
      <font>
        <b/>
        <color rgb="FF025564"/>
        <name val="Lato"/>
      </font>
      <fill>
        <patternFill patternType="solid">
          <bgColor rgb="FFF4CCCC"/>
        </patternFill>
      </fill>
    </dxf>
    <dxf>
      <font>
        <b/>
        <color rgb="FF025564"/>
        <name val="Lato"/>
      </font>
      <fill>
        <patternFill patternType="solid">
          <bgColor rgb="FFE2F0D9"/>
        </patternFill>
      </fill>
    </dxf>
    <dxf>
      <font>
        <b/>
        <color rgb="FF025564"/>
        <name val="Lato"/>
      </font>
      <fill>
        <patternFill patternType="solid">
          <bgColor rgb="FFF4CCCC"/>
        </patternFill>
      </fill>
    </dxf>
    <dxf>
      <fill>
        <patternFill>
          <bgColor rgb="FFF4CCCC"/>
        </patternFill>
      </fill>
    </dxf>
    <dxf>
      <fill>
        <patternFill>
          <bgColor rgb="FFFFF2CC"/>
        </patternFill>
      </fill>
    </dxf>
    <dxf>
      <fill>
        <patternFill>
          <bgColor rgb="FFE2F0D9"/>
        </patternFill>
      </fill>
    </dxf>
    <dxf>
      <font>
        <b/>
        <color rgb="FF025564"/>
        <name val="Lato"/>
      </font>
      <fill>
        <patternFill patternType="solid">
          <bgColor rgb="FFE2F0D9"/>
        </patternFill>
      </fill>
    </dxf>
    <dxf>
      <font>
        <b/>
        <color rgb="FF025564"/>
        <name val="Lato"/>
      </font>
      <fill>
        <patternFill patternType="solid">
          <bgColor rgb="FFF4CCCC"/>
        </patternFill>
      </fill>
    </dxf>
    <dxf>
      <font>
        <b/>
        <color rgb="FF025564"/>
        <name val="Lato"/>
      </font>
      <fill>
        <patternFill patternType="solid">
          <bgColor rgb="FFE2F0D9"/>
        </patternFill>
      </fill>
    </dxf>
    <dxf>
      <font>
        <b/>
        <color rgb="FF025564"/>
        <name val="Lato"/>
      </font>
      <fill>
        <patternFill patternType="solid">
          <bgColor rgb="FFF4CCCC"/>
        </patternFill>
      </fill>
    </dxf>
    <dxf>
      <fill>
        <patternFill>
          <bgColor rgb="FFF4CCCC"/>
        </patternFill>
      </fill>
    </dxf>
    <dxf>
      <fill>
        <patternFill>
          <bgColor rgb="FFFFF2CC"/>
        </patternFill>
      </fill>
    </dxf>
    <dxf>
      <fill>
        <patternFill>
          <bgColor rgb="FFE2F0D9"/>
        </patternFill>
      </fill>
    </dxf>
    <dxf>
      <font>
        <b/>
        <color rgb="FF025564"/>
        <name val="Lato"/>
      </font>
      <fill>
        <patternFill patternType="solid">
          <bgColor rgb="FFF4CCCC"/>
        </patternFill>
      </fill>
    </dxf>
    <dxf>
      <font>
        <b/>
        <color rgb="FF025564"/>
        <name val="Lato"/>
      </font>
      <fill>
        <patternFill patternType="solid">
          <bgColor rgb="FFE2F0D9"/>
        </patternFill>
      </fill>
    </dxf>
    <dxf>
      <font>
        <b/>
        <color rgb="FF025564"/>
        <name val="Lato"/>
      </font>
      <fill>
        <patternFill patternType="solid">
          <bgColor rgb="FFF4CCCC"/>
        </patternFill>
      </fill>
    </dxf>
    <dxf>
      <font>
        <b/>
        <color rgb="FF025564"/>
        <name val="Lato"/>
      </font>
      <fill>
        <patternFill patternType="solid">
          <bgColor rgb="FFE2F0D9"/>
        </patternFill>
      </fill>
    </dxf>
    <dxf>
      <font>
        <b/>
        <color rgb="FF025564"/>
        <name val="Lato"/>
      </font>
      <fill>
        <patternFill patternType="solid">
          <bgColor rgb="FFF4CCCC"/>
        </patternFill>
      </fill>
    </dxf>
    <dxf>
      <font>
        <b/>
        <color rgb="FF025564"/>
        <name val="Lato"/>
      </font>
      <fill>
        <patternFill patternType="solid">
          <bgColor rgb="FFE2F0D9"/>
        </patternFill>
      </fill>
    </dxf>
    <dxf>
      <font>
        <b/>
        <color rgb="FF025564"/>
        <name val="Lato"/>
      </font>
      <fill>
        <patternFill patternType="solid">
          <bgColor rgb="FFF4CCCC"/>
        </patternFill>
      </fill>
    </dxf>
    <dxf>
      <font>
        <b/>
        <color rgb="FF025564"/>
        <name val="Lato"/>
      </font>
      <fill>
        <patternFill patternType="solid">
          <bgColor rgb="FFE2F0D9"/>
        </patternFill>
      </fill>
    </dxf>
    <dxf>
      <font>
        <b/>
        <color rgb="FF025564"/>
        <name val="Lato"/>
      </font>
      <fill>
        <patternFill patternType="solid">
          <bgColor rgb="FFF4CCCC"/>
        </patternFill>
      </fill>
    </dxf>
    <dxf>
      <font>
        <b/>
        <color rgb="FF025564"/>
        <name val="Lato"/>
      </font>
      <fill>
        <patternFill patternType="solid">
          <bgColor rgb="FFE2F0D9"/>
        </patternFill>
      </fill>
    </dxf>
    <dxf>
      <font>
        <b/>
        <color rgb="FFC00000"/>
      </font>
      <fill>
        <patternFill>
          <bgColor rgb="FFF4CCCC"/>
        </patternFill>
      </fill>
    </dxf>
    <dxf>
      <font>
        <b/>
        <color rgb="FF26312F"/>
      </font>
      <fill>
        <patternFill>
          <bgColor rgb="FFE2F0D9"/>
        </patternFill>
      </fill>
    </dxf>
    <dxf>
      <font>
        <color rgb="FF025564"/>
        <name val="Lato"/>
      </font>
      <fill>
        <patternFill patternType="solid">
          <bgColor rgb="FFF4CCCC"/>
        </patternFill>
      </fill>
    </dxf>
    <dxf>
      <font>
        <color rgb="FF025564"/>
        <name val="Lato"/>
      </font>
      <fill>
        <patternFill patternType="solid">
          <bgColor rgb="FFFFF2CC"/>
        </patternFill>
      </fill>
    </dxf>
    <dxf>
      <font>
        <color rgb="FF025564"/>
        <name val="Lato"/>
      </font>
      <fill>
        <patternFill patternType="solid">
          <bgColor rgb="FFE2F0D9"/>
        </patternFill>
      </fill>
    </dxf>
    <dxf>
      <font>
        <color rgb="FF025564"/>
        <name val="Lato"/>
      </font>
      <fill>
        <patternFill patternType="solid">
          <bgColor rgb="FFF4CCCC"/>
        </patternFill>
      </fill>
    </dxf>
    <dxf>
      <font>
        <color rgb="FF025564"/>
        <name val="Lato"/>
      </font>
      <fill>
        <patternFill patternType="solid">
          <bgColor rgb="FFFFF2CC"/>
        </patternFill>
      </fill>
    </dxf>
    <dxf>
      <font>
        <color rgb="FF025564"/>
        <name val="Lato"/>
      </font>
      <fill>
        <patternFill patternType="solid">
          <bgColor rgb="FFE2F0D9"/>
        </patternFill>
      </fill>
    </dxf>
    <dxf>
      <font>
        <color rgb="FF025564"/>
        <name val="Lato"/>
      </font>
      <fill>
        <patternFill patternType="solid">
          <bgColor rgb="FFE2F0D9"/>
        </patternFill>
      </fill>
    </dxf>
    <dxf>
      <font>
        <color rgb="FF025564"/>
        <name val="Lato"/>
      </font>
      <fill>
        <patternFill patternType="solid">
          <bgColor rgb="FFE2F0D9"/>
        </patternFill>
      </fill>
    </dxf>
    <dxf>
      <font>
        <color rgb="FF025564"/>
        <name val="Lato"/>
      </font>
      <fill>
        <patternFill patternType="solid">
          <bgColor rgb="FFF4CCCC"/>
        </patternFill>
      </fill>
    </dxf>
    <dxf>
      <font>
        <color rgb="FF025564"/>
        <name val="Lato"/>
      </font>
      <fill>
        <patternFill patternType="solid">
          <bgColor rgb="FFF4CCCC"/>
        </patternFill>
      </fill>
    </dxf>
    <dxf>
      <font>
        <color rgb="FF025564"/>
        <name val="Lato"/>
      </font>
      <fill>
        <patternFill patternType="solid">
          <bgColor rgb="FFE2F0D9"/>
        </patternFill>
      </fill>
    </dxf>
    <dxf>
      <font>
        <color rgb="FF025564"/>
        <name val="Lato"/>
      </font>
      <fill>
        <patternFill patternType="solid">
          <bgColor rgb="FFFFF2CC"/>
        </patternFill>
      </fill>
    </dxf>
    <dxf>
      <font>
        <color rgb="FF025564"/>
        <name val="Lato"/>
      </font>
      <fill>
        <patternFill patternType="solid">
          <bgColor rgb="FFE2F0D9"/>
        </patternFill>
      </fill>
    </dxf>
    <dxf>
      <font>
        <color rgb="FF025564"/>
        <name val="Lato"/>
      </font>
      <fill>
        <patternFill patternType="solid">
          <bgColor rgb="FFFFF2CC"/>
        </patternFill>
      </fill>
    </dxf>
    <dxf>
      <fill>
        <patternFill>
          <bgColor rgb="FFF4CCCC"/>
        </patternFill>
      </fill>
    </dxf>
    <dxf>
      <fill>
        <patternFill>
          <bgColor rgb="FFFFF2CC"/>
        </patternFill>
      </fill>
    </dxf>
    <dxf>
      <fill>
        <patternFill>
          <bgColor rgb="FFE2F0D9"/>
        </patternFill>
      </fill>
    </dxf>
    <dxf>
      <font>
        <color rgb="FF025564"/>
        <name val="Lato"/>
      </font>
      <fill>
        <patternFill patternType="solid">
          <bgColor rgb="FFE2F0D9"/>
        </patternFill>
      </fill>
    </dxf>
    <dxf>
      <font>
        <color rgb="FF025564"/>
        <name val="Lato"/>
      </font>
      <fill>
        <patternFill patternType="solid">
          <bgColor rgb="FFFFF2CC"/>
        </patternFill>
      </fill>
    </dxf>
    <dxf>
      <font>
        <color rgb="FF025564"/>
        <name val="Lato"/>
      </font>
      <fill>
        <patternFill patternType="solid">
          <bgColor rgb="FFF4CCCC"/>
        </patternFill>
      </fill>
    </dxf>
    <dxf>
      <font>
        <color rgb="FF025564"/>
        <name val="Lato"/>
      </font>
      <fill>
        <patternFill patternType="solid">
          <bgColor rgb="FFE2F0D9"/>
        </patternFill>
      </fill>
    </dxf>
    <dxf>
      <font>
        <color rgb="FF025564"/>
        <name val="Lato"/>
      </font>
      <fill>
        <patternFill patternType="solid">
          <bgColor rgb="FFFFF2CC"/>
        </patternFill>
      </fill>
    </dxf>
    <dxf>
      <font>
        <color rgb="FF025564"/>
        <name val="Lato"/>
      </font>
      <fill>
        <patternFill patternType="solid">
          <bgColor rgb="FFF4CCCC"/>
        </patternFill>
      </fill>
    </dxf>
    <dxf>
      <fill>
        <patternFill>
          <bgColor rgb="FFF4CCCC"/>
        </patternFill>
      </fill>
    </dxf>
    <dxf>
      <fill>
        <patternFill>
          <bgColor rgb="FFFFF2CC"/>
        </patternFill>
      </fill>
    </dxf>
  </dxfs>
  <tableStyles count="0" defaultTableStyle="TableStyleMedium2" defaultPivotStyle="PivotStyleLight16"/>
  <colors>
    <mruColors>
      <color rgb="FFFAF4E6"/>
      <color rgb="FF037183"/>
      <color rgb="FF0255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b="1">
                <a:solidFill>
                  <a:srgbClr val="025564"/>
                </a:solidFill>
                <a:latin typeface="Lato"/>
                <a:ea typeface="Lato"/>
                <a:cs typeface="Lato"/>
              </a:rPr>
              <a:t>Selected-Scenario Attributable Benefit Composition</a:t>
            </a:r>
          </a:p>
        </c:rich>
      </c:tx>
      <c:overlay val="0"/>
    </c:title>
    <c:autoTitleDeleted val="0"/>
    <c:plotArea>
      <c:layout/>
      <c:barChart>
        <c:barDir val="col"/>
        <c:grouping val="clustered"/>
        <c:varyColors val="0"/>
        <c:ser>
          <c:idx val="0"/>
          <c:order val="0"/>
          <c:tx>
            <c:v>Estimated attributable value</c:v>
          </c:tx>
          <c:invertIfNegative val="1"/>
          <c:cat>
            <c:strRef>
              <c:f>Dashboard!$B$13:$B$18</c:f>
              <c:strCache>
                <c:ptCount val="6"/>
                <c:pt idx="0">
                  <c:v>Property damage</c:v>
                </c:pt>
                <c:pt idx="1">
                  <c:v>Public infrastructure</c:v>
                </c:pt>
                <c:pt idx="2">
                  <c:v>Business interruption</c:v>
                </c:pt>
                <c:pt idx="3">
                  <c:v>Emergency, displacement &amp; health</c:v>
                </c:pt>
                <c:pt idx="4">
                  <c:v>Environmental &amp; other</c:v>
                </c:pt>
                <c:pt idx="5">
                  <c:v>Less: maintenance and adverse costs</c:v>
                </c:pt>
              </c:strCache>
            </c:strRef>
          </c:cat>
          <c:val>
            <c:numRef>
              <c:f>Dashboard!$C$13:$C$18</c:f>
              <c:numCache>
                <c:formatCode>\$#,##0;[Red]\(\$#,##0\);\-</c:formatCode>
                <c:ptCount val="6"/>
                <c:pt idx="0">
                  <c:v>265765.18038058403</c:v>
                </c:pt>
                <c:pt idx="1">
                  <c:v>205959.69923862032</c:v>
                </c:pt>
                <c:pt idx="2">
                  <c:v>125731.21174450658</c:v>
                </c:pt>
                <c:pt idx="3">
                  <c:v>168626.17752908744</c:v>
                </c:pt>
                <c:pt idx="4">
                  <c:v>17123.393599489948</c:v>
                </c:pt>
                <c:pt idx="5">
                  <c:v>-43224.079456742787</c:v>
                </c:pt>
              </c:numCache>
            </c:numRef>
          </c:val>
          <c:extLst>
            <c:ext xmlns:c16="http://schemas.microsoft.com/office/drawing/2014/chart" uri="{C3380CC4-5D6E-409C-BE32-E72D297353CC}">
              <c16:uniqueId val="{00000000-B313-4EFB-87EA-4FE10F489BF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1400">
                <a:solidFill>
                  <a:srgbClr val="025564"/>
                </a:solidFill>
                <a:latin typeface="Lato"/>
                <a:ea typeface="Lato"/>
                <a:cs typeface="Lato"/>
              </a:defRPr>
            </a:pPr>
            <a:endParaRPr lang="en-US"/>
          </a:p>
        </c:txPr>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Red]\(\$#,##0\);\-" sourceLinked="1"/>
        <c:majorTickMark val="none"/>
        <c:minorTickMark val="none"/>
        <c:tickLblPos val="nextTo"/>
        <c:txPr>
          <a:bodyPr anchorCtr="1"/>
          <a:lstStyle/>
          <a:p>
            <a:pPr>
              <a:defRPr>
                <a:solidFill>
                  <a:srgbClr val="025564"/>
                </a:solidFill>
                <a:latin typeface="Lato"/>
                <a:ea typeface="Lato"/>
                <a:cs typeface="Lato"/>
              </a:defRPr>
            </a:pPr>
            <a:endParaRPr lang="en-US"/>
          </a:p>
        </c:txPr>
        <c:crossAx val="48650112"/>
        <c:crosses val="autoZero"/>
        <c:crossBetween val="between"/>
      </c:valAx>
      <c:spPr>
        <a:solidFill>
          <a:srgbClr val="FAF4E6"/>
        </a:solidFill>
      </c:spPr>
    </c:plotArea>
    <c:plotVisOnly val="1"/>
    <c:dispBlanksAs val="zero"/>
    <c:showDLblsOverMax val="1"/>
  </c:chart>
  <c:spPr>
    <a:solidFill>
      <a:srgbClr val="FAF4E6"/>
    </a:solidFill>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10</xdr:row>
      <xdr:rowOff>0</xdr:rowOff>
    </xdr:from>
    <xdr:to>
      <xdr:col>13</xdr:col>
      <xdr:colOff>0</xdr:colOff>
      <xdr:row>23</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abSelected="1" workbookViewId="0">
      <selection activeCell="S13" sqref="S13"/>
    </sheetView>
  </sheetViews>
  <sheetFormatPr defaultRowHeight="14.25"/>
  <cols>
    <col min="1" max="1" width="13.25" style="13" customWidth="1"/>
    <col min="2" max="2" width="36.75" style="122" customWidth="1"/>
    <col min="3" max="5" width="18" style="122" customWidth="1"/>
    <col min="6" max="6" width="45" style="122" customWidth="1"/>
    <col min="7" max="7" width="4" style="122" customWidth="1"/>
    <col min="8" max="13" width="14" style="122" customWidth="1"/>
    <col min="14" max="16384" width="9" style="122"/>
  </cols>
  <sheetData>
    <row r="1" spans="1:14" s="13" customFormat="1" ht="39" customHeight="1">
      <c r="A1" s="4"/>
      <c r="B1" s="4"/>
      <c r="C1" s="4"/>
      <c r="D1" s="4"/>
      <c r="E1" s="4"/>
      <c r="F1" s="4"/>
      <c r="G1" s="4"/>
      <c r="H1" s="4"/>
      <c r="I1" s="4"/>
      <c r="J1" s="4"/>
      <c r="K1" s="4"/>
      <c r="L1" s="4"/>
      <c r="M1" s="4"/>
      <c r="N1" s="4"/>
    </row>
    <row r="2" spans="1:14" s="13" customFormat="1" ht="51.95" customHeight="1">
      <c r="A2" s="4"/>
      <c r="B2" s="123" t="s">
        <v>247</v>
      </c>
      <c r="C2" s="123"/>
      <c r="D2" s="123"/>
      <c r="E2" s="123"/>
      <c r="F2" s="123"/>
      <c r="G2" s="123"/>
      <c r="H2" s="123"/>
      <c r="I2" s="123"/>
      <c r="J2" s="123"/>
      <c r="K2" s="123"/>
      <c r="L2" s="123"/>
      <c r="M2" s="123"/>
      <c r="N2" s="4"/>
    </row>
    <row r="3" spans="1:14" s="13" customFormat="1" ht="18" customHeight="1">
      <c r="A3" s="4"/>
      <c r="B3" s="124"/>
      <c r="C3" s="124"/>
      <c r="D3" s="124"/>
      <c r="E3" s="124"/>
      <c r="F3" s="124"/>
      <c r="G3" s="124"/>
      <c r="H3" s="124"/>
      <c r="I3" s="124"/>
      <c r="J3" s="124"/>
      <c r="K3" s="124"/>
      <c r="L3" s="124"/>
      <c r="M3" s="124"/>
      <c r="N3" s="4"/>
    </row>
    <row r="4" spans="1:14" s="13" customFormat="1" ht="24.95" customHeight="1">
      <c r="A4" s="4"/>
      <c r="B4" s="87" t="str">
        <f>"Selected scenario: "&amp;'Inputs &amp; Guidance'!C4&amp;"  |  Monetized social-value estimate; review the conservative case and source notes before making a decision."</f>
        <v>Selected scenario: Base  |  Monetized social-value estimate; review the conservative case and source notes before making a decision.</v>
      </c>
      <c r="C4" s="88"/>
      <c r="D4" s="88"/>
      <c r="E4" s="88"/>
      <c r="F4" s="88"/>
      <c r="G4" s="88"/>
      <c r="H4" s="88"/>
      <c r="I4" s="88"/>
      <c r="J4" s="88"/>
      <c r="K4" s="88"/>
      <c r="L4" s="88"/>
      <c r="M4" s="89"/>
      <c r="N4" s="4"/>
    </row>
    <row r="5" spans="1:14" s="13" customFormat="1" ht="18">
      <c r="A5" s="4"/>
      <c r="B5" s="20"/>
      <c r="C5" s="20"/>
      <c r="D5" s="20"/>
      <c r="E5" s="20"/>
      <c r="F5" s="20"/>
      <c r="G5" s="20"/>
      <c r="H5" s="20"/>
      <c r="I5" s="20"/>
      <c r="J5" s="20"/>
      <c r="K5" s="20"/>
      <c r="L5" s="20"/>
      <c r="M5" s="20"/>
      <c r="N5" s="4"/>
    </row>
    <row r="6" spans="1:14" s="13" customFormat="1" ht="29.1" customHeight="1" thickBot="1">
      <c r="A6" s="4"/>
      <c r="B6" s="90" t="s">
        <v>0</v>
      </c>
      <c r="C6" s="91"/>
      <c r="D6" s="92"/>
      <c r="E6" s="90" t="s">
        <v>1</v>
      </c>
      <c r="F6" s="91"/>
      <c r="G6" s="92"/>
      <c r="H6" s="90" t="s">
        <v>2</v>
      </c>
      <c r="I6" s="91"/>
      <c r="J6" s="92"/>
      <c r="K6" s="90" t="s">
        <v>3</v>
      </c>
      <c r="L6" s="91"/>
      <c r="M6" s="92"/>
      <c r="N6" s="4"/>
    </row>
    <row r="7" spans="1:14" s="13" customFormat="1" ht="24" customHeight="1">
      <c r="A7" s="4"/>
      <c r="B7" s="167">
        <f>INDEX('Impact Model'!$D$28:$F$28,1,MATCH('Inputs &amp; Guidance'!$C$4,'Inputs &amp; Guidance'!$D$6:$F$6,0))</f>
        <v>2.9599263321421825</v>
      </c>
      <c r="C7" s="168"/>
      <c r="D7" s="169"/>
      <c r="E7" s="167">
        <f>INDEX('Impact Model'!$D$29:$F$29,1,MATCH('Inputs &amp; Guidance'!$C$4,'Inputs &amp; Guidance'!$D$6:$F$6,0))</f>
        <v>1.9599263321421827</v>
      </c>
      <c r="F7" s="168"/>
      <c r="G7" s="169"/>
      <c r="H7" s="149">
        <f>INDEX('Impact Model'!$D$25:$F$25,1,MATCH('Inputs &amp; Guidance'!$C$4,'Inputs &amp; Guidance'!$D$6:$F$6,0))</f>
        <v>739981.58303554566</v>
      </c>
      <c r="I7" s="150"/>
      <c r="J7" s="151"/>
      <c r="K7" s="157">
        <f>INDEX('Impact Model'!$D$16:$F$16,1,MATCH('Inputs &amp; Guidance'!$C$4,'Inputs &amp; Guidance'!$D$6:$F$6,0))</f>
        <v>0.80874999999999997</v>
      </c>
      <c r="L7" s="158"/>
      <c r="M7" s="159"/>
      <c r="N7" s="4"/>
    </row>
    <row r="8" spans="1:14" s="13" customFormat="1" ht="24" customHeight="1">
      <c r="A8" s="4"/>
      <c r="B8" s="170"/>
      <c r="C8" s="171"/>
      <c r="D8" s="172"/>
      <c r="E8" s="170"/>
      <c r="F8" s="171"/>
      <c r="G8" s="172"/>
      <c r="H8" s="152"/>
      <c r="I8" s="147"/>
      <c r="J8" s="153"/>
      <c r="K8" s="160"/>
      <c r="L8" s="148"/>
      <c r="M8" s="161"/>
      <c r="N8" s="130"/>
    </row>
    <row r="9" spans="1:14" s="13" customFormat="1" ht="24" customHeight="1" thickBot="1">
      <c r="A9" s="4"/>
      <c r="B9" s="173"/>
      <c r="C9" s="174"/>
      <c r="D9" s="175"/>
      <c r="E9" s="173"/>
      <c r="F9" s="174"/>
      <c r="G9" s="175"/>
      <c r="H9" s="154"/>
      <c r="I9" s="155"/>
      <c r="J9" s="156"/>
      <c r="K9" s="162"/>
      <c r="L9" s="163"/>
      <c r="M9" s="164"/>
      <c r="N9" s="4"/>
    </row>
    <row r="10" spans="1:14" s="13" customFormat="1" ht="33.950000000000003" customHeight="1">
      <c r="A10" s="4"/>
      <c r="B10" s="31"/>
      <c r="C10" s="31"/>
      <c r="D10" s="31"/>
      <c r="E10" s="31"/>
      <c r="F10" s="31"/>
      <c r="G10" s="31"/>
      <c r="H10" s="32"/>
      <c r="I10" s="32"/>
      <c r="J10" s="32"/>
      <c r="K10" s="32"/>
      <c r="L10" s="32"/>
      <c r="M10" s="182"/>
      <c r="N10" s="4"/>
    </row>
    <row r="11" spans="1:14" s="13" customFormat="1" ht="30" customHeight="1">
      <c r="A11" s="4"/>
      <c r="B11" s="93" t="s">
        <v>4</v>
      </c>
      <c r="C11" s="93"/>
      <c r="D11" s="93"/>
      <c r="E11" s="1"/>
      <c r="F11" s="1"/>
      <c r="G11" s="1"/>
      <c r="H11" s="1"/>
      <c r="I11" s="1"/>
      <c r="J11" s="1"/>
      <c r="K11" s="1"/>
      <c r="L11" s="1"/>
      <c r="M11" s="1"/>
      <c r="N11" s="4"/>
    </row>
    <row r="12" spans="1:14" s="13" customFormat="1" ht="21.95" customHeight="1">
      <c r="A12" s="4"/>
      <c r="B12" s="69" t="s">
        <v>5</v>
      </c>
      <c r="C12" s="94" t="s">
        <v>6</v>
      </c>
      <c r="D12" s="95"/>
      <c r="E12" s="1"/>
      <c r="F12" s="1"/>
      <c r="G12" s="1"/>
      <c r="H12" s="1"/>
      <c r="I12" s="1"/>
      <c r="J12" s="1"/>
      <c r="K12" s="1"/>
      <c r="L12" s="1"/>
      <c r="M12" s="1"/>
      <c r="N12" s="4"/>
    </row>
    <row r="13" spans="1:14" s="13" customFormat="1" ht="21.95" customHeight="1">
      <c r="A13" s="4"/>
      <c r="B13" s="134" t="s">
        <v>7</v>
      </c>
      <c r="C13" s="143">
        <f>(('Inputs &amp; Guidance'!$D$22*INDEX('Inputs &amp; Guidance'!$D$14:$F$14,1,MATCH('Inputs &amp; Guidance'!$C$4,'Inputs &amp; Guidance'!$D$6:$F$6,0))-'Inputs &amp; Guidance'!$D$22*'Inputs &amp; Guidance'!$E$22*INDEX('Inputs &amp; Guidance'!$D$15:$F$15,1,MATCH('Inputs &amp; Guidance'!$C$4,'Inputs &amp; Guidance'!$D$6:$F$6,0)))*'Inputs &amp; Guidance'!$F$22*--('Inputs &amp; Guidance'!$C$22="Yes"))*INDEX('Impact Model'!$D$18:$F$18,1,MATCH('Inputs &amp; Guidance'!$C$4,'Inputs &amp; Guidance'!$D$6:$F$6,0))*INDEX('Impact Model'!$D$24:$F$24,1,MATCH('Inputs &amp; Guidance'!$C$4,'Inputs &amp; Guidance'!$D$6:$F$6,0))*INDEX('Impact Model'!$D$9:$F$9,1,MATCH('Inputs &amp; Guidance'!$C$4,'Inputs &amp; Guidance'!$D$6:$F$6,0))</f>
        <v>265765.18038058403</v>
      </c>
      <c r="D13" s="143"/>
      <c r="E13" s="1"/>
      <c r="F13" s="1"/>
      <c r="G13" s="1"/>
      <c r="H13" s="1"/>
      <c r="I13" s="1"/>
      <c r="J13" s="1"/>
      <c r="K13" s="1"/>
      <c r="L13" s="1"/>
      <c r="M13" s="1"/>
      <c r="N13" s="4"/>
    </row>
    <row r="14" spans="1:14" s="13" customFormat="1" ht="21.95" customHeight="1">
      <c r="A14" s="4"/>
      <c r="B14" s="134" t="s">
        <v>8</v>
      </c>
      <c r="C14" s="143">
        <f>(('Inputs &amp; Guidance'!$D$23*INDEX('Inputs &amp; Guidance'!$D$14:$F$14,1,MATCH('Inputs &amp; Guidance'!$C$4,'Inputs &amp; Guidance'!$D$6:$F$6,0))-'Inputs &amp; Guidance'!$D$23*'Inputs &amp; Guidance'!$E$23*INDEX('Inputs &amp; Guidance'!$D$15:$F$15,1,MATCH('Inputs &amp; Guidance'!$C$4,'Inputs &amp; Guidance'!$D$6:$F$6,0)))*'Inputs &amp; Guidance'!$F$23*--('Inputs &amp; Guidance'!$C$23="Yes"))*INDEX('Impact Model'!$D$18:$F$18,1,MATCH('Inputs &amp; Guidance'!$C$4,'Inputs &amp; Guidance'!$D$6:$F$6,0))*INDEX('Impact Model'!$D$24:$F$24,1,MATCH('Inputs &amp; Guidance'!$C$4,'Inputs &amp; Guidance'!$D$6:$F$6,0))*INDEX('Impact Model'!$D$9:$F$9,1,MATCH('Inputs &amp; Guidance'!$C$4,'Inputs &amp; Guidance'!$D$6:$F$6,0))</f>
        <v>205959.69923862032</v>
      </c>
      <c r="D14" s="143"/>
      <c r="E14" s="1"/>
      <c r="F14" s="1"/>
      <c r="G14" s="1"/>
      <c r="H14" s="1"/>
      <c r="I14" s="1"/>
      <c r="J14" s="1"/>
      <c r="K14" s="1"/>
      <c r="L14" s="1"/>
      <c r="M14" s="1"/>
      <c r="N14" s="4"/>
    </row>
    <row r="15" spans="1:14" s="13" customFormat="1" ht="21.95" customHeight="1">
      <c r="A15" s="4"/>
      <c r="B15" s="134" t="s">
        <v>9</v>
      </c>
      <c r="C15" s="143">
        <f>(('Inputs &amp; Guidance'!$D$24*INDEX('Inputs &amp; Guidance'!$D$14:$F$14,1,MATCH('Inputs &amp; Guidance'!$C$4,'Inputs &amp; Guidance'!$D$6:$F$6,0))-'Inputs &amp; Guidance'!$D$24*'Inputs &amp; Guidance'!$E$24*INDEX('Inputs &amp; Guidance'!$D$15:$F$15,1,MATCH('Inputs &amp; Guidance'!$C$4,'Inputs &amp; Guidance'!$D$6:$F$6,0)))*'Inputs &amp; Guidance'!$F$24*--('Inputs &amp; Guidance'!$C$24="Yes"))*INDEX('Impact Model'!$D$18:$F$18,1,MATCH('Inputs &amp; Guidance'!$C$4,'Inputs &amp; Guidance'!$D$6:$F$6,0))*INDEX('Impact Model'!$D$24:$F$24,1,MATCH('Inputs &amp; Guidance'!$C$4,'Inputs &amp; Guidance'!$D$6:$F$6,0))*INDEX('Impact Model'!$D$9:$F$9,1,MATCH('Inputs &amp; Guidance'!$C$4,'Inputs &amp; Guidance'!$D$6:$F$6,0))</f>
        <v>125731.21174450658</v>
      </c>
      <c r="D15" s="143"/>
      <c r="E15" s="1"/>
      <c r="F15" s="1"/>
      <c r="G15" s="1"/>
      <c r="H15" s="1"/>
      <c r="I15" s="1"/>
      <c r="J15" s="1"/>
      <c r="K15" s="1"/>
      <c r="L15" s="1"/>
      <c r="M15" s="1"/>
      <c r="N15" s="4"/>
    </row>
    <row r="16" spans="1:14" s="13" customFormat="1" ht="21.95" customHeight="1">
      <c r="A16" s="4"/>
      <c r="B16" s="134" t="s">
        <v>10</v>
      </c>
      <c r="C16" s="143">
        <f>(('Inputs &amp; Guidance'!$D$25*INDEX('Inputs &amp; Guidance'!$D$14:$F$14,1,MATCH('Inputs &amp; Guidance'!$C$4,'Inputs &amp; Guidance'!$D$6:$F$6,0))-'Inputs &amp; Guidance'!$D$25*'Inputs &amp; Guidance'!$E$25*INDEX('Inputs &amp; Guidance'!$D$15:$F$15,1,MATCH('Inputs &amp; Guidance'!$C$4,'Inputs &amp; Guidance'!$D$6:$F$6,0)))*'Inputs &amp; Guidance'!$F$25*--('Inputs &amp; Guidance'!$C$25="Yes")+('Inputs &amp; Guidance'!$D$26*INDEX('Inputs &amp; Guidance'!$D$14:$F$14,1,MATCH('Inputs &amp; Guidance'!$C$4,'Inputs &amp; Guidance'!$D$6:$F$6,0))-'Inputs &amp; Guidance'!$D$26*'Inputs &amp; Guidance'!$E$26*INDEX('Inputs &amp; Guidance'!$D$15:$F$15,1,MATCH('Inputs &amp; Guidance'!$C$4,'Inputs &amp; Guidance'!$D$6:$F$6,0)))*'Inputs &amp; Guidance'!$F$26*--('Inputs &amp; Guidance'!$C$26="Yes")+('Inputs &amp; Guidance'!$D$27*INDEX('Inputs &amp; Guidance'!$D$14:$F$14,1,MATCH('Inputs &amp; Guidance'!$C$4,'Inputs &amp; Guidance'!$D$6:$F$6,0))-'Inputs &amp; Guidance'!$D$27*'Inputs &amp; Guidance'!$E$27*INDEX('Inputs &amp; Guidance'!$D$15:$F$15,1,MATCH('Inputs &amp; Guidance'!$C$4,'Inputs &amp; Guidance'!$D$6:$F$6,0)))*'Inputs &amp; Guidance'!$F$27*--('Inputs &amp; Guidance'!$C$27="Yes"))*INDEX('Impact Model'!$D$18:$F$18,1,MATCH('Inputs &amp; Guidance'!$C$4,'Inputs &amp; Guidance'!$D$6:$F$6,0))*INDEX('Impact Model'!$D$24:$F$24,1,MATCH('Inputs &amp; Guidance'!$C$4,'Inputs &amp; Guidance'!$D$6:$F$6,0))*INDEX('Impact Model'!$D$9:$F$9,1,MATCH('Inputs &amp; Guidance'!$C$4,'Inputs &amp; Guidance'!$D$6:$F$6,0))</f>
        <v>168626.17752908744</v>
      </c>
      <c r="D16" s="143"/>
      <c r="E16" s="1"/>
      <c r="F16" s="1"/>
      <c r="G16" s="1"/>
      <c r="H16" s="1"/>
      <c r="I16" s="1"/>
      <c r="J16" s="1"/>
      <c r="K16" s="1"/>
      <c r="L16" s="1"/>
      <c r="M16" s="1"/>
      <c r="N16" s="4"/>
    </row>
    <row r="17" spans="1:14" s="13" customFormat="1" ht="21.95" customHeight="1">
      <c r="A17" s="4"/>
      <c r="B17" s="134" t="s">
        <v>11</v>
      </c>
      <c r="C17" s="143">
        <f>(('Inputs &amp; Guidance'!$D$28*INDEX('Inputs &amp; Guidance'!$D$14:$F$14,1,MATCH('Inputs &amp; Guidance'!$C$4,'Inputs &amp; Guidance'!$D$6:$F$6,0))-'Inputs &amp; Guidance'!$D$28*'Inputs &amp; Guidance'!$E$28*INDEX('Inputs &amp; Guidance'!$D$15:$F$15,1,MATCH('Inputs &amp; Guidance'!$C$4,'Inputs &amp; Guidance'!$D$6:$F$6,0)))*'Inputs &amp; Guidance'!$F$28*--('Inputs &amp; Guidance'!$C$28="Yes")+('Inputs &amp; Guidance'!$D$29*INDEX('Inputs &amp; Guidance'!$D$14:$F$14,1,MATCH('Inputs &amp; Guidance'!$C$4,'Inputs &amp; Guidance'!$D$6:$F$6,0))-'Inputs &amp; Guidance'!$D$29*'Inputs &amp; Guidance'!$E$29*INDEX('Inputs &amp; Guidance'!$D$15:$F$15,1,MATCH('Inputs &amp; Guidance'!$C$4,'Inputs &amp; Guidance'!$D$6:$F$6,0)))*'Inputs &amp; Guidance'!$F$29*--('Inputs &amp; Guidance'!$C$29="Yes"))*INDEX('Impact Model'!$D$18:$F$18,1,MATCH('Inputs &amp; Guidance'!$C$4,'Inputs &amp; Guidance'!$D$6:$F$6,0))*INDEX('Impact Model'!$D$24:$F$24,1,MATCH('Inputs &amp; Guidance'!$C$4,'Inputs &amp; Guidance'!$D$6:$F$6,0))*INDEX('Impact Model'!$D$9:$F$9,1,MATCH('Inputs &amp; Guidance'!$C$4,'Inputs &amp; Guidance'!$D$6:$F$6,0))</f>
        <v>17123.393599489948</v>
      </c>
      <c r="D17" s="143"/>
      <c r="E17" s="1"/>
      <c r="F17" s="1"/>
      <c r="G17" s="1"/>
      <c r="H17" s="1"/>
      <c r="I17" s="1"/>
      <c r="J17" s="1"/>
      <c r="K17" s="1"/>
      <c r="L17" s="1"/>
      <c r="M17" s="1"/>
      <c r="N17" s="4"/>
    </row>
    <row r="18" spans="1:14" s="13" customFormat="1" ht="21.95" customHeight="1">
      <c r="A18" s="4"/>
      <c r="B18" s="134" t="s">
        <v>12</v>
      </c>
      <c r="C18" s="143">
        <f>-INDEX('Impact Model'!$D$21:$F$21,1,MATCH('Inputs &amp; Guidance'!$C$4,'Inputs &amp; Guidance'!$D$6:$F$6,0))*INDEX('Impact Model'!$D$24:$F$24,1,MATCH('Inputs &amp; Guidance'!$C$4,'Inputs &amp; Guidance'!$D$6:$F$6,0))*INDEX('Impact Model'!$D$9:$F$9,1,MATCH('Inputs &amp; Guidance'!$C$4,'Inputs &amp; Guidance'!$D$6:$F$6,0))</f>
        <v>-43224.079456742787</v>
      </c>
      <c r="D18" s="143"/>
      <c r="E18" s="1"/>
      <c r="F18" s="1"/>
      <c r="G18" s="1"/>
      <c r="H18" s="1"/>
      <c r="I18" s="1"/>
      <c r="J18" s="1"/>
      <c r="K18" s="1"/>
      <c r="L18" s="1"/>
      <c r="M18" s="1"/>
      <c r="N18" s="4"/>
    </row>
    <row r="19" spans="1:14" s="13" customFormat="1" ht="21.95" customHeight="1">
      <c r="A19" s="4"/>
      <c r="B19" s="144" t="s">
        <v>13</v>
      </c>
      <c r="C19" s="145">
        <f>INDEX('Impact Model'!$D$25:$F$25,1,MATCH('Inputs &amp; Guidance'!$C$4,'Inputs &amp; Guidance'!$D$6:$F$6,0))</f>
        <v>739981.58303554566</v>
      </c>
      <c r="D19" s="145"/>
      <c r="E19" s="1"/>
      <c r="F19" s="1"/>
      <c r="G19" s="1"/>
      <c r="H19" s="1"/>
      <c r="I19" s="1"/>
      <c r="J19" s="1"/>
      <c r="K19" s="1"/>
      <c r="L19" s="1"/>
      <c r="M19" s="1"/>
      <c r="N19" s="4"/>
    </row>
    <row r="20" spans="1:14" s="13" customFormat="1" ht="18">
      <c r="A20" s="4"/>
      <c r="B20" s="19"/>
      <c r="C20" s="19"/>
      <c r="D20" s="19"/>
      <c r="E20" s="17"/>
      <c r="F20" s="17"/>
      <c r="G20" s="17"/>
      <c r="H20" s="17"/>
      <c r="I20" s="17"/>
      <c r="J20" s="17"/>
      <c r="K20" s="17"/>
      <c r="L20" s="1"/>
      <c r="M20" s="1"/>
      <c r="N20" s="4"/>
    </row>
    <row r="21" spans="1:14" s="13" customFormat="1" ht="18">
      <c r="A21" s="4"/>
      <c r="B21" s="19"/>
      <c r="C21" s="19"/>
      <c r="D21" s="19"/>
      <c r="E21" s="17"/>
      <c r="F21" s="17"/>
      <c r="G21" s="17"/>
      <c r="H21" s="17"/>
      <c r="I21" s="17"/>
      <c r="J21" s="17"/>
      <c r="K21" s="17"/>
      <c r="L21" s="1"/>
      <c r="M21" s="1"/>
      <c r="N21" s="4"/>
    </row>
    <row r="22" spans="1:14" s="13" customFormat="1" ht="18">
      <c r="A22" s="4"/>
      <c r="B22" s="19"/>
      <c r="C22" s="19"/>
      <c r="D22" s="19"/>
      <c r="E22" s="17"/>
      <c r="F22" s="17"/>
      <c r="G22" s="17"/>
      <c r="H22" s="17"/>
      <c r="I22" s="17"/>
      <c r="J22" s="17"/>
      <c r="K22" s="17"/>
      <c r="L22" s="1"/>
      <c r="M22" s="1"/>
      <c r="N22" s="4"/>
    </row>
    <row r="23" spans="1:14" s="13" customFormat="1" ht="18">
      <c r="A23" s="4"/>
      <c r="B23" s="19"/>
      <c r="C23" s="19"/>
      <c r="D23" s="19"/>
      <c r="E23" s="19"/>
      <c r="F23" s="19"/>
      <c r="G23" s="19"/>
      <c r="H23" s="19"/>
      <c r="I23" s="19"/>
      <c r="J23" s="19"/>
      <c r="K23" s="19"/>
      <c r="L23" s="19"/>
      <c r="M23" s="19"/>
      <c r="N23" s="4"/>
    </row>
    <row r="24" spans="1:14" s="13" customFormat="1" ht="21.95" customHeight="1">
      <c r="A24" s="4"/>
      <c r="B24" s="146" t="s">
        <v>14</v>
      </c>
      <c r="C24" s="146"/>
      <c r="D24" s="146"/>
      <c r="E24" s="146"/>
      <c r="F24" s="146"/>
      <c r="G24" s="18"/>
      <c r="H24" s="18"/>
      <c r="I24" s="18"/>
      <c r="J24" s="18"/>
      <c r="K24" s="18"/>
      <c r="L24" s="18"/>
      <c r="M24" s="18"/>
      <c r="N24" s="4"/>
    </row>
    <row r="25" spans="1:14" s="13" customFormat="1" ht="24" customHeight="1">
      <c r="A25" s="4"/>
      <c r="B25" s="53" t="s">
        <v>15</v>
      </c>
      <c r="C25" s="53" t="s">
        <v>16</v>
      </c>
      <c r="D25" s="53" t="s">
        <v>17</v>
      </c>
      <c r="E25" s="53" t="s">
        <v>18</v>
      </c>
      <c r="F25" s="53" t="s">
        <v>19</v>
      </c>
      <c r="G25" s="19"/>
      <c r="H25" s="96"/>
      <c r="I25" s="97"/>
      <c r="J25" s="97"/>
      <c r="K25" s="97"/>
      <c r="L25" s="97"/>
      <c r="M25" s="98"/>
      <c r="N25" s="4"/>
    </row>
    <row r="26" spans="1:14" s="13" customFormat="1" ht="38.1" customHeight="1">
      <c r="A26" s="4"/>
      <c r="B26" s="134" t="s">
        <v>0</v>
      </c>
      <c r="C26" s="185">
        <f>'Impact Model'!D28</f>
        <v>0.46660583870097899</v>
      </c>
      <c r="D26" s="185">
        <f>'Impact Model'!E28</f>
        <v>2.9599263321421825</v>
      </c>
      <c r="E26" s="185">
        <f>'Impact Model'!F28</f>
        <v>10.461079147812498</v>
      </c>
      <c r="F26" s="183" t="s">
        <v>20</v>
      </c>
      <c r="G26" s="19"/>
      <c r="H26" s="176" t="s">
        <v>21</v>
      </c>
      <c r="I26" s="177"/>
      <c r="J26" s="177"/>
      <c r="K26" s="177"/>
      <c r="L26" s="177"/>
      <c r="M26" s="178"/>
      <c r="N26" s="4"/>
    </row>
    <row r="27" spans="1:14" s="13" customFormat="1" ht="38.1" customHeight="1">
      <c r="A27" s="4"/>
      <c r="B27" s="134" t="s">
        <v>1</v>
      </c>
      <c r="C27" s="185">
        <f>'Impact Model'!D29</f>
        <v>-0.53339416129902095</v>
      </c>
      <c r="D27" s="185">
        <f>'Impact Model'!E29</f>
        <v>1.9599263321421827</v>
      </c>
      <c r="E27" s="185">
        <f>'Impact Model'!F29</f>
        <v>9.461079147812498</v>
      </c>
      <c r="F27" s="134" t="s">
        <v>22</v>
      </c>
      <c r="G27" s="19"/>
      <c r="H27" s="176" t="s">
        <v>23</v>
      </c>
      <c r="I27" s="177"/>
      <c r="J27" s="177"/>
      <c r="K27" s="177"/>
      <c r="L27" s="177"/>
      <c r="M27" s="178"/>
      <c r="N27" s="4"/>
    </row>
    <row r="28" spans="1:14" s="13" customFormat="1" ht="38.1" customHeight="1">
      <c r="A28" s="4"/>
      <c r="B28" s="134" t="s">
        <v>2</v>
      </c>
      <c r="C28" s="70">
        <f>'Impact Model'!D25</f>
        <v>116651.45967524475</v>
      </c>
      <c r="D28" s="70">
        <f>'Impact Model'!E25</f>
        <v>739981.58303554566</v>
      </c>
      <c r="E28" s="70">
        <f>'Impact Model'!F25</f>
        <v>2615269.7869531247</v>
      </c>
      <c r="F28" s="134" t="s">
        <v>24</v>
      </c>
      <c r="G28" s="19"/>
      <c r="H28" s="176" t="s">
        <v>25</v>
      </c>
      <c r="I28" s="177"/>
      <c r="J28" s="177"/>
      <c r="K28" s="177"/>
      <c r="L28" s="177"/>
      <c r="M28" s="178"/>
      <c r="N28" s="4"/>
    </row>
    <row r="29" spans="1:14" s="13" customFormat="1" ht="38.1" customHeight="1">
      <c r="A29" s="4"/>
      <c r="B29" s="134" t="s">
        <v>26</v>
      </c>
      <c r="C29" s="70">
        <f>'Impact Model'!D22</f>
        <v>1425740.062697436</v>
      </c>
      <c r="D29" s="70">
        <f>'Impact Model'!E22</f>
        <v>4327377.6785704419</v>
      </c>
      <c r="E29" s="70">
        <f>'Impact Model'!F22</f>
        <v>10112751.055887485</v>
      </c>
      <c r="F29" s="134" t="s">
        <v>27</v>
      </c>
      <c r="G29" s="19"/>
      <c r="H29" s="176" t="s">
        <v>28</v>
      </c>
      <c r="I29" s="177"/>
      <c r="J29" s="177"/>
      <c r="K29" s="177"/>
      <c r="L29" s="177"/>
      <c r="M29" s="178"/>
      <c r="N29" s="4"/>
    </row>
    <row r="30" spans="1:14" s="13" customFormat="1" ht="38.1" customHeight="1">
      <c r="A30" s="4"/>
      <c r="B30" s="134" t="s">
        <v>29</v>
      </c>
      <c r="C30" s="186">
        <f>'Impact Model'!D30</f>
        <v>10.21583268323489</v>
      </c>
      <c r="D30" s="186">
        <f>'Impact Model'!E30</f>
        <v>2.4835869671687685</v>
      </c>
      <c r="E30" s="186">
        <f>'Impact Model'!F30</f>
        <v>1.1007520558195771</v>
      </c>
      <c r="F30" s="134" t="s">
        <v>30</v>
      </c>
      <c r="G30" s="19"/>
      <c r="H30" s="179" t="s">
        <v>31</v>
      </c>
      <c r="I30" s="180"/>
      <c r="J30" s="180"/>
      <c r="K30" s="180"/>
      <c r="L30" s="180"/>
      <c r="M30" s="181"/>
      <c r="N30" s="4"/>
    </row>
    <row r="31" spans="1:14" s="13" customFormat="1" ht="15">
      <c r="A31" s="4"/>
      <c r="B31" s="11"/>
      <c r="C31" s="11"/>
      <c r="D31" s="11"/>
      <c r="E31" s="11"/>
      <c r="F31" s="11"/>
      <c r="G31" s="11"/>
      <c r="H31" s="11"/>
      <c r="I31" s="11"/>
      <c r="J31" s="11"/>
      <c r="K31" s="11"/>
      <c r="L31" s="11"/>
      <c r="M31" s="11"/>
      <c r="N31" s="4"/>
    </row>
    <row r="32" spans="1:14" s="13" customFormat="1" ht="15">
      <c r="A32" s="4"/>
      <c r="B32" s="11"/>
      <c r="C32" s="11"/>
      <c r="D32" s="11"/>
      <c r="E32" s="11"/>
      <c r="F32" s="11"/>
      <c r="G32" s="11"/>
      <c r="H32" s="11"/>
      <c r="I32" s="11"/>
      <c r="J32" s="11"/>
      <c r="K32" s="11"/>
      <c r="L32" s="11"/>
      <c r="M32" s="11"/>
      <c r="N32" s="4"/>
    </row>
  </sheetData>
  <mergeCells count="26">
    <mergeCell ref="H30:M30"/>
    <mergeCell ref="B2:M3"/>
    <mergeCell ref="H25:M25"/>
    <mergeCell ref="H26:M26"/>
    <mergeCell ref="H27:M27"/>
    <mergeCell ref="H28:M28"/>
    <mergeCell ref="H29:M29"/>
    <mergeCell ref="C16:D16"/>
    <mergeCell ref="C17:D17"/>
    <mergeCell ref="C18:D18"/>
    <mergeCell ref="C19:D19"/>
    <mergeCell ref="B24:F24"/>
    <mergeCell ref="B11:D11"/>
    <mergeCell ref="C12:D12"/>
    <mergeCell ref="C13:D13"/>
    <mergeCell ref="C14:D14"/>
    <mergeCell ref="C15:D15"/>
    <mergeCell ref="B4:M4"/>
    <mergeCell ref="B6:D6"/>
    <mergeCell ref="B7:D9"/>
    <mergeCell ref="E6:G6"/>
    <mergeCell ref="E7:G9"/>
    <mergeCell ref="H6:J6"/>
    <mergeCell ref="H7:J9"/>
    <mergeCell ref="K6:M6"/>
    <mergeCell ref="K7:M9"/>
  </mergeCells>
  <conditionalFormatting sqref="C26:E26">
    <cfRule type="expression" dxfId="67" priority="4">
      <formula>AND(C26&gt;=0.5,C26&lt;1)</formula>
    </cfRule>
    <cfRule type="expression" dxfId="66" priority="5">
      <formula>C26&lt;0.5</formula>
    </cfRule>
    <cfRule type="expression" dxfId="65" priority="9">
      <formula>C26&lt;1</formula>
    </cfRule>
    <cfRule type="expression" dxfId="64" priority="10">
      <formula>AND(C26&gt;=1,C26&lt;2)</formula>
    </cfRule>
    <cfRule type="expression" dxfId="63" priority="11">
      <formula>C26&gt;=2</formula>
    </cfRule>
    <cfRule type="expression" dxfId="62" priority="22">
      <formula>C26&lt;1</formula>
    </cfRule>
    <cfRule type="expression" dxfId="61" priority="23">
      <formula>AND(C26&gt;=1,C26&lt;2)</formula>
    </cfRule>
    <cfRule type="expression" dxfId="60" priority="24">
      <formula>C26&gt;=2</formula>
    </cfRule>
  </conditionalFormatting>
  <conditionalFormatting sqref="C26:E27">
    <cfRule type="expression" dxfId="59" priority="3">
      <formula>C26&gt;=1</formula>
    </cfRule>
  </conditionalFormatting>
  <conditionalFormatting sqref="C27:E27">
    <cfRule type="expression" dxfId="58" priority="7">
      <formula>AND(C27&gt;=0,C27&lt;1)</formula>
    </cfRule>
    <cfRule type="expression" dxfId="57" priority="8">
      <formula>C27&lt;0</formula>
    </cfRule>
    <cfRule type="expression" dxfId="56" priority="13">
      <formula>AND(C27&gt;=0,C27&lt;1)</formula>
    </cfRule>
    <cfRule type="expression" dxfId="55" priority="14">
      <formula>C27&gt;=1</formula>
    </cfRule>
    <cfRule type="expression" dxfId="54" priority="26">
      <formula>AND(C27&gt;=0,C27&lt;1)</formula>
    </cfRule>
    <cfRule type="expression" dxfId="53" priority="27">
      <formula>C27&gt;=1</formula>
    </cfRule>
  </conditionalFormatting>
  <conditionalFormatting sqref="C27:E29">
    <cfRule type="expression" dxfId="52" priority="12">
      <formula>C27&lt;0</formula>
    </cfRule>
    <cfRule type="expression" dxfId="51" priority="25">
      <formula>C27&lt;0</formula>
    </cfRule>
  </conditionalFormatting>
  <conditionalFormatting sqref="C28:E29">
    <cfRule type="expression" dxfId="50" priority="16">
      <formula>C28&gt;=0</formula>
    </cfRule>
    <cfRule type="expression" dxfId="49" priority="29">
      <formula>C28&gt;=0</formula>
    </cfRule>
  </conditionalFormatting>
  <conditionalFormatting sqref="C30:E30">
    <cfRule type="expression" dxfId="48" priority="19">
      <formula>AND(ISNUMBER(C30),C30&lt;=3)</formula>
    </cfRule>
    <cfRule type="expression" dxfId="47" priority="20">
      <formula>AND(ISNUMBER(C30),C30&gt;3,C30&lt;=7)</formula>
    </cfRule>
    <cfRule type="expression" dxfId="46" priority="21">
      <formula>AND(ISNUMBER(C30),C30&gt;7)</formula>
    </cfRule>
    <cfRule type="expression" dxfId="45" priority="32">
      <formula>AND(ISNUMBER(C30),C30&lt;=3)</formula>
    </cfRule>
    <cfRule type="expression" dxfId="44" priority="33">
      <formula>AND(ISNUMBER(C30),C30&gt;3,C30&lt;=7)</formula>
    </cfRule>
    <cfRule type="expression" dxfId="43" priority="34">
      <formula>AND(ISNUMBER(C30),C30&gt;7)</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8"/>
  <sheetViews>
    <sheetView topLeftCell="A25" workbookViewId="0">
      <selection activeCell="H22" sqref="H22"/>
    </sheetView>
  </sheetViews>
  <sheetFormatPr defaultRowHeight="14.25"/>
  <cols>
    <col min="1" max="1" width="9" style="13" customWidth="1"/>
    <col min="2" max="2" width="23.25" style="13" customWidth="1"/>
    <col min="3" max="3" width="38" style="13" customWidth="1"/>
    <col min="4" max="4" width="20.5" style="13" customWidth="1"/>
    <col min="5" max="5" width="19" style="13" customWidth="1"/>
    <col min="6" max="6" width="17.875" style="13" customWidth="1"/>
    <col min="7" max="7" width="18" style="13" customWidth="1"/>
    <col min="8" max="8" width="58.75" style="13" customWidth="1"/>
    <col min="9" max="9" width="40" style="13" customWidth="1"/>
    <col min="10" max="16384" width="9" style="13"/>
  </cols>
  <sheetData>
    <row r="1" spans="1:14" ht="37.5" customHeight="1">
      <c r="A1" s="4"/>
      <c r="B1" s="4"/>
      <c r="C1" s="4"/>
      <c r="D1" s="4"/>
      <c r="E1" s="4"/>
      <c r="F1" s="4"/>
      <c r="G1" s="4"/>
      <c r="H1" s="4"/>
      <c r="I1" s="4"/>
      <c r="J1" s="4"/>
    </row>
    <row r="2" spans="1:14" ht="84.75" customHeight="1">
      <c r="A2" s="4"/>
      <c r="B2" s="99" t="s">
        <v>32</v>
      </c>
      <c r="C2" s="99"/>
      <c r="D2" s="99"/>
      <c r="E2" s="99"/>
      <c r="F2" s="99"/>
      <c r="G2" s="99"/>
      <c r="H2" s="99"/>
      <c r="I2" s="99"/>
      <c r="J2" s="2"/>
      <c r="K2" s="12"/>
      <c r="L2" s="12"/>
      <c r="M2" s="12"/>
    </row>
    <row r="3" spans="1:14" ht="30" customHeight="1">
      <c r="A3" s="4"/>
      <c r="B3" s="100" t="s">
        <v>33</v>
      </c>
      <c r="C3" s="100"/>
      <c r="D3" s="100"/>
      <c r="E3" s="100"/>
      <c r="F3" s="100"/>
      <c r="G3" s="100"/>
      <c r="H3" s="100"/>
      <c r="I3" s="100"/>
      <c r="J3" s="3"/>
      <c r="K3" s="14"/>
      <c r="L3" s="14"/>
      <c r="M3" s="14"/>
    </row>
    <row r="4" spans="1:14" ht="39.75" customHeight="1">
      <c r="A4" s="4"/>
      <c r="B4" s="33" t="s">
        <v>34</v>
      </c>
      <c r="C4" s="34" t="s">
        <v>17</v>
      </c>
      <c r="D4" s="101" t="s">
        <v>35</v>
      </c>
      <c r="E4" s="102"/>
      <c r="F4" s="34" t="s">
        <v>36</v>
      </c>
      <c r="G4" s="103" t="s">
        <v>37</v>
      </c>
      <c r="H4" s="104"/>
      <c r="I4" s="33" t="str">
        <f>IF(F4&lt;&gt;"Yes","REVIEW EVIDENCE",IF(COUNTIF(C22:C29,"Yes")=0,"REVIEW INPUTS",IF(INDEX(D15:F15,1,MATCH(C4,D6:F6,0))&lt;INDEX(D14:F14,1,MATCH(C4,D6:F6,0)),"READY FOR REVIEW","REVIEW INPUTS")))</f>
        <v>READY FOR REVIEW</v>
      </c>
      <c r="J4" s="2"/>
      <c r="K4" s="12"/>
      <c r="L4" s="12"/>
      <c r="M4" s="12"/>
    </row>
    <row r="5" spans="1:14" ht="33.950000000000003" customHeight="1">
      <c r="A5" s="4"/>
      <c r="B5" s="105" t="s">
        <v>38</v>
      </c>
      <c r="C5" s="105"/>
      <c r="D5" s="105"/>
      <c r="E5" s="105"/>
      <c r="F5" s="105"/>
      <c r="G5" s="105"/>
      <c r="H5" s="105"/>
      <c r="I5" s="105"/>
      <c r="J5" s="2"/>
      <c r="K5" s="12"/>
      <c r="L5" s="12"/>
      <c r="M5" s="12"/>
    </row>
    <row r="6" spans="1:14" ht="32.1" customHeight="1">
      <c r="A6" s="4"/>
      <c r="B6" s="35" t="s">
        <v>39</v>
      </c>
      <c r="C6" s="37" t="s">
        <v>40</v>
      </c>
      <c r="D6" s="37" t="s">
        <v>16</v>
      </c>
      <c r="E6" s="37" t="s">
        <v>17</v>
      </c>
      <c r="F6" s="37" t="s">
        <v>18</v>
      </c>
      <c r="G6" s="37" t="s">
        <v>41</v>
      </c>
      <c r="H6" s="37" t="s">
        <v>42</v>
      </c>
      <c r="I6" s="36" t="s">
        <v>43</v>
      </c>
      <c r="J6" s="2"/>
      <c r="K6" s="12"/>
      <c r="L6" s="12"/>
      <c r="M6" s="12"/>
    </row>
    <row r="7" spans="1:14" ht="54" customHeight="1">
      <c r="A7" s="4"/>
      <c r="B7" s="134" t="s">
        <v>44</v>
      </c>
      <c r="C7" s="134" t="s">
        <v>45</v>
      </c>
      <c r="D7" s="42">
        <v>250000</v>
      </c>
      <c r="E7" s="42">
        <v>250000</v>
      </c>
      <c r="F7" s="42">
        <v>250000</v>
      </c>
      <c r="G7" s="43" t="s">
        <v>46</v>
      </c>
      <c r="H7" s="44" t="s">
        <v>47</v>
      </c>
      <c r="I7" s="44" t="s">
        <v>48</v>
      </c>
      <c r="J7" s="2"/>
      <c r="K7" s="15"/>
      <c r="L7" s="15"/>
      <c r="M7" s="15"/>
      <c r="N7" s="16"/>
    </row>
    <row r="8" spans="1:14" ht="54" customHeight="1">
      <c r="A8" s="4"/>
      <c r="B8" s="134" t="s">
        <v>44</v>
      </c>
      <c r="C8" s="134" t="s">
        <v>49</v>
      </c>
      <c r="D8" s="42">
        <v>1100000</v>
      </c>
      <c r="E8" s="42">
        <v>1000000</v>
      </c>
      <c r="F8" s="42">
        <v>900000</v>
      </c>
      <c r="G8" s="43" t="s">
        <v>46</v>
      </c>
      <c r="H8" s="44" t="s">
        <v>50</v>
      </c>
      <c r="I8" s="44" t="s">
        <v>51</v>
      </c>
      <c r="J8" s="2"/>
      <c r="K8" s="12"/>
      <c r="L8" s="12"/>
      <c r="M8" s="12"/>
    </row>
    <row r="9" spans="1:14" ht="54" customHeight="1">
      <c r="A9" s="4"/>
      <c r="B9" s="134" t="s">
        <v>52</v>
      </c>
      <c r="C9" s="134" t="s">
        <v>53</v>
      </c>
      <c r="D9" s="46">
        <v>8</v>
      </c>
      <c r="E9" s="46">
        <v>10</v>
      </c>
      <c r="F9" s="46">
        <v>15</v>
      </c>
      <c r="G9" s="43" t="s">
        <v>54</v>
      </c>
      <c r="H9" s="44" t="s">
        <v>55</v>
      </c>
      <c r="I9" s="44" t="s">
        <v>56</v>
      </c>
      <c r="J9" s="2"/>
      <c r="K9" s="12"/>
      <c r="L9" s="12"/>
      <c r="M9" s="12"/>
    </row>
    <row r="10" spans="1:14" ht="54" customHeight="1">
      <c r="A10" s="4"/>
      <c r="B10" s="134" t="s">
        <v>52</v>
      </c>
      <c r="C10" s="134" t="s">
        <v>57</v>
      </c>
      <c r="D10" s="41">
        <v>0.06</v>
      </c>
      <c r="E10" s="41">
        <v>0.04</v>
      </c>
      <c r="F10" s="41">
        <v>0.03</v>
      </c>
      <c r="G10" s="43" t="s">
        <v>58</v>
      </c>
      <c r="H10" s="44" t="s">
        <v>59</v>
      </c>
      <c r="I10" s="44" t="s">
        <v>60</v>
      </c>
      <c r="J10" s="2"/>
      <c r="K10" s="12"/>
      <c r="L10" s="12"/>
      <c r="M10" s="12"/>
    </row>
    <row r="11" spans="1:14" ht="65.25" customHeight="1">
      <c r="A11" s="4"/>
      <c r="B11" s="134" t="s">
        <v>52</v>
      </c>
      <c r="C11" s="134" t="s">
        <v>61</v>
      </c>
      <c r="D11" s="41">
        <v>0.02</v>
      </c>
      <c r="E11" s="41">
        <v>0.01</v>
      </c>
      <c r="F11" s="41">
        <v>2.5000000000000001E-3</v>
      </c>
      <c r="G11" s="43" t="s">
        <v>58</v>
      </c>
      <c r="H11" s="44" t="s">
        <v>62</v>
      </c>
      <c r="I11" s="44" t="s">
        <v>56</v>
      </c>
      <c r="J11" s="2"/>
      <c r="K11" s="12"/>
      <c r="L11" s="12"/>
      <c r="M11" s="12"/>
    </row>
    <row r="12" spans="1:14" ht="63.95" customHeight="1">
      <c r="A12" s="4"/>
      <c r="B12" s="134" t="s">
        <v>63</v>
      </c>
      <c r="C12" s="134" t="s">
        <v>64</v>
      </c>
      <c r="D12" s="42">
        <v>35000</v>
      </c>
      <c r="E12" s="42">
        <v>25000</v>
      </c>
      <c r="F12" s="42">
        <v>15000</v>
      </c>
      <c r="G12" s="43" t="s">
        <v>65</v>
      </c>
      <c r="H12" s="44" t="s">
        <v>66</v>
      </c>
      <c r="I12" s="44" t="s">
        <v>56</v>
      </c>
      <c r="J12" s="2"/>
      <c r="K12" s="12"/>
      <c r="L12" s="12"/>
      <c r="M12" s="12"/>
    </row>
    <row r="13" spans="1:14" ht="63.95" customHeight="1">
      <c r="A13" s="4"/>
      <c r="B13" s="134" t="s">
        <v>63</v>
      </c>
      <c r="C13" s="134" t="s">
        <v>67</v>
      </c>
      <c r="D13" s="42">
        <v>100000</v>
      </c>
      <c r="E13" s="42">
        <v>50000</v>
      </c>
      <c r="F13" s="42">
        <v>25000</v>
      </c>
      <c r="G13" s="43" t="s">
        <v>46</v>
      </c>
      <c r="H13" s="44" t="s">
        <v>68</v>
      </c>
      <c r="I13" s="44" t="s">
        <v>56</v>
      </c>
      <c r="J13" s="2"/>
      <c r="K13" s="12"/>
      <c r="L13" s="12"/>
      <c r="M13" s="12"/>
    </row>
    <row r="14" spans="1:14" ht="63.95" customHeight="1">
      <c r="A14" s="4"/>
      <c r="B14" s="134" t="s">
        <v>69</v>
      </c>
      <c r="C14" s="134" t="s">
        <v>70</v>
      </c>
      <c r="D14" s="41">
        <v>0.12</v>
      </c>
      <c r="E14" s="41">
        <v>0.15</v>
      </c>
      <c r="F14" s="41">
        <v>0.18</v>
      </c>
      <c r="G14" s="43" t="s">
        <v>58</v>
      </c>
      <c r="H14" s="44" t="s">
        <v>71</v>
      </c>
      <c r="I14" s="44" t="s">
        <v>72</v>
      </c>
      <c r="J14" s="2"/>
      <c r="K14" s="12"/>
      <c r="L14" s="12"/>
      <c r="M14" s="12"/>
    </row>
    <row r="15" spans="1:14" ht="63.95" customHeight="1">
      <c r="A15" s="4"/>
      <c r="B15" s="134" t="s">
        <v>69</v>
      </c>
      <c r="C15" s="134" t="s">
        <v>73</v>
      </c>
      <c r="D15" s="41">
        <v>0.1</v>
      </c>
      <c r="E15" s="41">
        <v>0.08</v>
      </c>
      <c r="F15" s="41">
        <v>0.06</v>
      </c>
      <c r="G15" s="43" t="s">
        <v>58</v>
      </c>
      <c r="H15" s="44" t="s">
        <v>74</v>
      </c>
      <c r="I15" s="44" t="s">
        <v>75</v>
      </c>
      <c r="J15" s="2"/>
      <c r="K15" s="12"/>
      <c r="L15" s="12"/>
      <c r="M15" s="12"/>
    </row>
    <row r="16" spans="1:14" ht="63.95" customHeight="1">
      <c r="A16" s="4"/>
      <c r="B16" s="134" t="s">
        <v>76</v>
      </c>
      <c r="C16" s="134" t="s">
        <v>77</v>
      </c>
      <c r="D16" s="41">
        <v>0.6</v>
      </c>
      <c r="E16" s="41">
        <v>0.8</v>
      </c>
      <c r="F16" s="41">
        <v>0.95</v>
      </c>
      <c r="G16" s="43" t="s">
        <v>58</v>
      </c>
      <c r="H16" s="44" t="s">
        <v>78</v>
      </c>
      <c r="I16" s="44" t="s">
        <v>79</v>
      </c>
      <c r="J16" s="2"/>
      <c r="K16" s="12"/>
      <c r="L16" s="12"/>
      <c r="M16" s="12"/>
    </row>
    <row r="17" spans="1:13" ht="63.95" customHeight="1">
      <c r="A17" s="4"/>
      <c r="B17" s="134" t="s">
        <v>76</v>
      </c>
      <c r="C17" s="134" t="s">
        <v>80</v>
      </c>
      <c r="D17" s="41">
        <v>0.75</v>
      </c>
      <c r="E17" s="41">
        <v>0.9</v>
      </c>
      <c r="F17" s="41">
        <v>0.98</v>
      </c>
      <c r="G17" s="43" t="s">
        <v>58</v>
      </c>
      <c r="H17" s="44" t="s">
        <v>81</v>
      </c>
      <c r="I17" s="44" t="s">
        <v>82</v>
      </c>
      <c r="J17" s="2"/>
      <c r="K17" s="12"/>
      <c r="L17" s="12"/>
      <c r="M17" s="12"/>
    </row>
    <row r="18" spans="1:13" ht="63.95" customHeight="1">
      <c r="A18" s="4"/>
      <c r="B18" s="134" t="s">
        <v>76</v>
      </c>
      <c r="C18" s="134" t="s">
        <v>83</v>
      </c>
      <c r="D18" s="41">
        <v>0.8</v>
      </c>
      <c r="E18" s="41">
        <v>0.95</v>
      </c>
      <c r="F18" s="41">
        <v>1</v>
      </c>
      <c r="G18" s="43" t="s">
        <v>58</v>
      </c>
      <c r="H18" s="44" t="s">
        <v>84</v>
      </c>
      <c r="I18" s="44" t="s">
        <v>85</v>
      </c>
      <c r="J18" s="2"/>
      <c r="K18" s="12"/>
      <c r="L18" s="12"/>
      <c r="M18" s="12"/>
    </row>
    <row r="19" spans="1:13" ht="63.95" customHeight="1">
      <c r="A19" s="4"/>
      <c r="B19" s="135" t="s">
        <v>86</v>
      </c>
      <c r="C19" s="135" t="s">
        <v>87</v>
      </c>
      <c r="D19" s="47"/>
      <c r="E19" s="47"/>
      <c r="F19" s="47"/>
      <c r="G19" s="136" t="s">
        <v>58</v>
      </c>
      <c r="H19" s="45" t="s">
        <v>88</v>
      </c>
      <c r="I19" s="45" t="s">
        <v>89</v>
      </c>
      <c r="J19" s="2"/>
      <c r="K19" s="12"/>
      <c r="L19" s="12"/>
      <c r="M19" s="12"/>
    </row>
    <row r="20" spans="1:13" ht="30" customHeight="1">
      <c r="A20" s="4"/>
      <c r="B20" s="137" t="s">
        <v>90</v>
      </c>
      <c r="C20" s="137"/>
      <c r="D20" s="138"/>
      <c r="E20" s="138"/>
      <c r="F20" s="138"/>
      <c r="G20" s="137"/>
      <c r="H20" s="137"/>
      <c r="I20" s="137"/>
      <c r="J20" s="2"/>
      <c r="K20" s="12"/>
      <c r="L20" s="12"/>
      <c r="M20" s="12"/>
    </row>
    <row r="21" spans="1:13" ht="42" customHeight="1">
      <c r="A21" s="4"/>
      <c r="B21" s="50" t="s">
        <v>91</v>
      </c>
      <c r="C21" s="49" t="s">
        <v>92</v>
      </c>
      <c r="D21" s="48" t="s">
        <v>93</v>
      </c>
      <c r="E21" s="48" t="s">
        <v>94</v>
      </c>
      <c r="F21" s="48" t="s">
        <v>95</v>
      </c>
      <c r="G21" s="49" t="s">
        <v>41</v>
      </c>
      <c r="H21" s="49" t="s">
        <v>96</v>
      </c>
      <c r="I21" s="51" t="s">
        <v>43</v>
      </c>
      <c r="J21" s="2"/>
      <c r="K21" s="12"/>
      <c r="L21" s="12"/>
      <c r="M21" s="12"/>
    </row>
    <row r="22" spans="1:13" ht="72" customHeight="1">
      <c r="A22" s="4"/>
      <c r="B22" s="44" t="s">
        <v>97</v>
      </c>
      <c r="C22" s="128" t="s">
        <v>36</v>
      </c>
      <c r="D22" s="42">
        <v>2500000</v>
      </c>
      <c r="E22" s="41">
        <v>0.7</v>
      </c>
      <c r="F22" s="41">
        <v>0.85</v>
      </c>
      <c r="G22" s="43" t="s">
        <v>98</v>
      </c>
      <c r="H22" s="44" t="s">
        <v>99</v>
      </c>
      <c r="I22" s="44" t="s">
        <v>56</v>
      </c>
      <c r="J22" s="2"/>
      <c r="K22" s="12"/>
      <c r="L22" s="12"/>
      <c r="M22" s="12"/>
    </row>
    <row r="23" spans="1:13" ht="72" customHeight="1">
      <c r="A23" s="4"/>
      <c r="B23" s="44" t="s">
        <v>100</v>
      </c>
      <c r="C23" s="128" t="s">
        <v>36</v>
      </c>
      <c r="D23" s="42">
        <v>2000000</v>
      </c>
      <c r="E23" s="41">
        <v>0.8</v>
      </c>
      <c r="F23" s="41">
        <v>0.9</v>
      </c>
      <c r="G23" s="43" t="s">
        <v>98</v>
      </c>
      <c r="H23" s="44" t="s">
        <v>101</v>
      </c>
      <c r="I23" s="44" t="s">
        <v>56</v>
      </c>
      <c r="J23" s="2"/>
      <c r="K23" s="12"/>
      <c r="L23" s="12"/>
      <c r="M23" s="12"/>
    </row>
    <row r="24" spans="1:13" ht="72" customHeight="1">
      <c r="A24" s="4"/>
      <c r="B24" s="44" t="s">
        <v>102</v>
      </c>
      <c r="C24" s="128" t="s">
        <v>36</v>
      </c>
      <c r="D24" s="42">
        <v>1500000</v>
      </c>
      <c r="E24" s="41">
        <v>0.75</v>
      </c>
      <c r="F24" s="41">
        <v>0.7</v>
      </c>
      <c r="G24" s="43" t="s">
        <v>98</v>
      </c>
      <c r="H24" s="44" t="s">
        <v>103</v>
      </c>
      <c r="I24" s="44" t="s">
        <v>56</v>
      </c>
      <c r="J24" s="2"/>
      <c r="K24" s="12"/>
      <c r="L24" s="12"/>
      <c r="M24" s="12"/>
    </row>
    <row r="25" spans="1:13" ht="72" customHeight="1">
      <c r="A25" s="4"/>
      <c r="B25" s="44" t="s">
        <v>104</v>
      </c>
      <c r="C25" s="125" t="s">
        <v>36</v>
      </c>
      <c r="D25" s="126">
        <v>700000</v>
      </c>
      <c r="E25" s="127">
        <v>0.65</v>
      </c>
      <c r="F25" s="127">
        <v>0.9</v>
      </c>
      <c r="G25" s="43" t="s">
        <v>98</v>
      </c>
      <c r="H25" s="44" t="s">
        <v>105</v>
      </c>
      <c r="I25" s="44" t="s">
        <v>56</v>
      </c>
      <c r="J25" s="2"/>
      <c r="K25" s="12"/>
      <c r="L25" s="12"/>
      <c r="M25" s="12"/>
    </row>
    <row r="26" spans="1:13" ht="72" customHeight="1">
      <c r="A26" s="4"/>
      <c r="B26" s="44" t="s">
        <v>106</v>
      </c>
      <c r="C26" s="125" t="s">
        <v>36</v>
      </c>
      <c r="D26" s="42">
        <v>500000</v>
      </c>
      <c r="E26" s="127">
        <v>0.65</v>
      </c>
      <c r="F26" s="127">
        <v>0.8</v>
      </c>
      <c r="G26" s="43" t="s">
        <v>98</v>
      </c>
      <c r="H26" s="44" t="s">
        <v>107</v>
      </c>
      <c r="I26" s="44" t="s">
        <v>56</v>
      </c>
      <c r="J26" s="2"/>
      <c r="K26" s="12"/>
      <c r="L26" s="12"/>
      <c r="M26" s="12"/>
    </row>
    <row r="27" spans="1:13" ht="72" customHeight="1">
      <c r="A27" s="4"/>
      <c r="B27" s="44" t="s">
        <v>108</v>
      </c>
      <c r="C27" s="125" t="s">
        <v>36</v>
      </c>
      <c r="D27" s="42">
        <v>500000</v>
      </c>
      <c r="E27" s="127">
        <v>0.8</v>
      </c>
      <c r="F27" s="127">
        <v>0.6</v>
      </c>
      <c r="G27" s="43" t="s">
        <v>98</v>
      </c>
      <c r="H27" s="44" t="s">
        <v>109</v>
      </c>
      <c r="I27" s="44" t="s">
        <v>56</v>
      </c>
      <c r="J27" s="2"/>
      <c r="K27" s="12"/>
      <c r="L27" s="12"/>
      <c r="M27" s="12"/>
    </row>
    <row r="28" spans="1:13" ht="72" customHeight="1">
      <c r="A28" s="4"/>
      <c r="B28" s="44" t="s">
        <v>110</v>
      </c>
      <c r="C28" s="125" t="s">
        <v>36</v>
      </c>
      <c r="D28" s="42">
        <v>300000</v>
      </c>
      <c r="E28" s="127">
        <v>0.9</v>
      </c>
      <c r="F28" s="127">
        <v>0.55000000000000004</v>
      </c>
      <c r="G28" s="43" t="s">
        <v>98</v>
      </c>
      <c r="H28" s="44" t="s">
        <v>111</v>
      </c>
      <c r="I28" s="44" t="s">
        <v>56</v>
      </c>
      <c r="J28" s="2"/>
      <c r="K28" s="12"/>
      <c r="L28" s="12"/>
      <c r="M28" s="12"/>
    </row>
    <row r="29" spans="1:13" ht="72" customHeight="1">
      <c r="A29" s="130"/>
      <c r="B29" s="44" t="s">
        <v>112</v>
      </c>
      <c r="C29" s="128" t="s">
        <v>113</v>
      </c>
      <c r="D29" s="42">
        <v>0</v>
      </c>
      <c r="E29" s="41">
        <v>1</v>
      </c>
      <c r="F29" s="41">
        <v>0.5</v>
      </c>
      <c r="G29" s="43" t="s">
        <v>98</v>
      </c>
      <c r="H29" s="44" t="s">
        <v>114</v>
      </c>
      <c r="I29" s="44" t="s">
        <v>115</v>
      </c>
      <c r="J29" s="2"/>
      <c r="K29" s="12"/>
      <c r="L29" s="12"/>
      <c r="M29" s="12"/>
    </row>
    <row r="30" spans="1:13" ht="24" customHeight="1">
      <c r="A30" s="4"/>
      <c r="B30" s="30"/>
      <c r="C30" s="30"/>
      <c r="D30" s="30"/>
      <c r="E30" s="30"/>
      <c r="F30" s="30"/>
      <c r="G30" s="30"/>
      <c r="H30" s="30"/>
      <c r="I30" s="30"/>
      <c r="J30" s="131"/>
      <c r="K30" s="12"/>
      <c r="L30" s="12"/>
      <c r="M30" s="12"/>
    </row>
    <row r="31" spans="1:13" ht="24" customHeight="1">
      <c r="A31" s="130"/>
      <c r="B31" s="132" t="s">
        <v>116</v>
      </c>
      <c r="C31" s="132"/>
      <c r="D31" s="133"/>
      <c r="E31" s="133"/>
      <c r="F31" s="133"/>
      <c r="G31" s="132"/>
      <c r="H31" s="132"/>
      <c r="I31" s="132"/>
      <c r="J31" s="131"/>
      <c r="K31" s="12"/>
      <c r="L31" s="12"/>
      <c r="M31" s="12"/>
    </row>
    <row r="32" spans="1:13" ht="30" customHeight="1">
      <c r="A32" s="130"/>
      <c r="B32" s="106" t="s">
        <v>117</v>
      </c>
      <c r="C32" s="107" t="s">
        <v>118</v>
      </c>
      <c r="D32" s="108" t="str">
        <f>TEXT(IF(D19="",MIN(1,D7/D8),MIN(1,D19)),"0.0%")</f>
        <v>22.7%</v>
      </c>
      <c r="E32" s="109" t="str">
        <f>TEXT(IF(E19="",MIN(1,E7/E8),MIN(1,E19)),"0.0%")</f>
        <v>25.0%</v>
      </c>
      <c r="F32" s="110" t="str">
        <f>TEXT(IF(F19="",MIN(1,F7/F8),MIN(1,F19)),"0.0%")</f>
        <v>27.8%</v>
      </c>
      <c r="G32" s="106" t="s">
        <v>58</v>
      </c>
      <c r="H32" s="111" t="s">
        <v>119</v>
      </c>
      <c r="I32" s="107" t="s">
        <v>120</v>
      </c>
      <c r="J32" s="130"/>
    </row>
    <row r="33" spans="1:10" ht="54" customHeight="1">
      <c r="A33" s="130"/>
      <c r="B33" s="44" t="s">
        <v>86</v>
      </c>
      <c r="C33" s="44" t="s">
        <v>118</v>
      </c>
      <c r="D33" s="165">
        <f>IF(D19="",MIN(1,D7/D8),MIN(1,D19))</f>
        <v>0.22727272727272727</v>
      </c>
      <c r="E33" s="165">
        <f>IF(E19="",MIN(1,E7/E8),MIN(1,E19))</f>
        <v>0.25</v>
      </c>
      <c r="F33" s="165">
        <f>IF(F19="",MIN(1,F7/F8),MIN(1,F19))</f>
        <v>0.27777777777777779</v>
      </c>
      <c r="G33" s="43" t="s">
        <v>58</v>
      </c>
      <c r="H33" s="44" t="s">
        <v>119</v>
      </c>
      <c r="I33" s="44" t="s">
        <v>120</v>
      </c>
      <c r="J33" s="130"/>
    </row>
    <row r="34" spans="1:10" ht="54" customHeight="1">
      <c r="A34" s="130"/>
      <c r="B34" s="44" t="s">
        <v>69</v>
      </c>
      <c r="C34" s="44" t="s">
        <v>121</v>
      </c>
      <c r="D34" s="71">
        <f>SUMPRODUCT($D$22:$D$29,--($C$22:$C$29="Yes"))</f>
        <v>8000000</v>
      </c>
      <c r="E34" s="71">
        <f>SUMPRODUCT($D$22:$D$29,--($C$22:$C$29="Yes"))</f>
        <v>8000000</v>
      </c>
      <c r="F34" s="71">
        <f>SUMPRODUCT($D$22:$D$29,--($C$22:$C$29="Yes"))</f>
        <v>8000000</v>
      </c>
      <c r="G34" s="43" t="s">
        <v>46</v>
      </c>
      <c r="H34" s="44" t="s">
        <v>122</v>
      </c>
      <c r="I34" s="44" t="s">
        <v>120</v>
      </c>
      <c r="J34" s="130"/>
    </row>
    <row r="35" spans="1:10" ht="54" customHeight="1">
      <c r="A35" s="130"/>
      <c r="B35" s="44" t="s">
        <v>123</v>
      </c>
      <c r="C35" s="44" t="s">
        <v>124</v>
      </c>
      <c r="D35" s="53" t="str">
        <f>IF(AND(D15&lt;D14,SUMPRODUCT($D$22:$D$29,$E$22:$E$29,--($C$22:$C$29="Yes"))&lt;SUMPRODUCT($D$22:$D$29,--($C$22:$C$29="Yes"))),"OK","REVIEW")</f>
        <v>OK</v>
      </c>
      <c r="E35" s="53" t="str">
        <f>IF(AND(E15&lt;E14,SUMPRODUCT($D$22:$D$29,$E$22:$E$29,--($C$22:$C$29="Yes"))&lt;SUMPRODUCT($D$22:$D$29,--($C$22:$C$29="Yes"))),"OK","REVIEW")</f>
        <v>OK</v>
      </c>
      <c r="F35" s="53" t="str">
        <f>IF(AND(F15&lt;F14,SUMPRODUCT($D$22:$D$29,$E$22:$E$29,--($C$22:$C$29="Yes"))&lt;SUMPRODUCT($D$22:$D$29,--($C$22:$C$29="Yes"))),"OK","REVIEW")</f>
        <v>OK</v>
      </c>
      <c r="G35" s="43" t="s">
        <v>125</v>
      </c>
      <c r="H35" s="44" t="s">
        <v>126</v>
      </c>
      <c r="I35" s="44" t="s">
        <v>127</v>
      </c>
      <c r="J35" s="130"/>
    </row>
    <row r="36" spans="1:10">
      <c r="A36" s="130"/>
      <c r="B36" s="130"/>
      <c r="C36" s="130"/>
      <c r="D36" s="130"/>
      <c r="E36" s="130"/>
      <c r="F36" s="130"/>
      <c r="G36" s="130"/>
      <c r="H36" s="130"/>
      <c r="I36" s="130"/>
      <c r="J36" s="130"/>
    </row>
    <row r="37" spans="1:10">
      <c r="A37" s="130"/>
      <c r="B37" s="130"/>
      <c r="C37" s="130"/>
      <c r="D37" s="130"/>
      <c r="E37" s="130"/>
      <c r="F37" s="130"/>
      <c r="G37" s="130"/>
      <c r="H37" s="130"/>
      <c r="I37" s="130"/>
      <c r="J37" s="130"/>
    </row>
    <row r="38" spans="1:10">
      <c r="A38" s="130"/>
      <c r="B38" s="130"/>
      <c r="C38" s="130"/>
      <c r="D38" s="130"/>
      <c r="E38" s="130"/>
      <c r="F38" s="130"/>
      <c r="G38" s="130"/>
      <c r="H38" s="130"/>
      <c r="I38" s="130"/>
      <c r="J38" s="130"/>
    </row>
  </sheetData>
  <mergeCells count="8">
    <mergeCell ref="B20:I20"/>
    <mergeCell ref="B31:I31"/>
    <mergeCell ref="B32:I32"/>
    <mergeCell ref="B2:I2"/>
    <mergeCell ref="B3:I3"/>
    <mergeCell ref="D4:E4"/>
    <mergeCell ref="G4:H4"/>
    <mergeCell ref="B5:I5"/>
  </mergeCells>
  <conditionalFormatting sqref="D32:F32">
    <cfRule type="expression" dxfId="42" priority="1">
      <formula>D32="OK"</formula>
    </cfRule>
    <cfRule type="expression" dxfId="41" priority="2">
      <formula>D32&lt;&gt;"OK"</formula>
    </cfRule>
  </conditionalFormatting>
  <conditionalFormatting sqref="D35:F35">
    <cfRule type="expression" dxfId="40" priority="5">
      <formula>D35="OK"</formula>
    </cfRule>
    <cfRule type="expression" dxfId="39" priority="6">
      <formula>D35="REVIEW"</formula>
    </cfRule>
    <cfRule type="expression" dxfId="38" priority="9">
      <formula>D35="OK"</formula>
    </cfRule>
    <cfRule type="expression" dxfId="37" priority="10">
      <formula>D35="REVIEW"</formula>
    </cfRule>
    <cfRule type="expression" dxfId="36" priority="11">
      <formula>D35="OK"</formula>
    </cfRule>
    <cfRule type="expression" dxfId="35" priority="12">
      <formula>D35="REVIEW"</formula>
    </cfRule>
  </conditionalFormatting>
  <conditionalFormatting sqref="I4">
    <cfRule type="expression" dxfId="34" priority="3">
      <formula>I4="READY FOR REVIEW"</formula>
    </cfRule>
    <cfRule type="expression" dxfId="33" priority="4">
      <formula>I4&lt;&gt;"READY FOR REVIEW"</formula>
    </cfRule>
    <cfRule type="expression" dxfId="32" priority="7">
      <formula>I4="READY FOR REVIEW"</formula>
    </cfRule>
    <cfRule type="expression" dxfId="31" priority="8">
      <formula>I4&lt;&gt;"READY FOR REVIEW"</formula>
    </cfRule>
  </conditionalFormatting>
  <dataValidations count="4">
    <dataValidation type="list" sqref="C4" xr:uid="{00000000-0002-0000-0100-000000000000}">
      <formula1>"Conservative,Base,Optimistic"</formula1>
    </dataValidation>
    <dataValidation type="list" sqref="C22:C29 F4" xr:uid="{00000000-0002-0000-0100-000001000000}">
      <formula1>"Yes,No"</formula1>
    </dataValidation>
    <dataValidation type="decimal" sqref="D10:F11 E22:F29 D14:F19" xr:uid="{00000000-0002-0000-0100-000003000000}">
      <formula1>0</formula1>
      <formula2>1</formula2>
    </dataValidation>
    <dataValidation type="decimal" sqref="D7:F9 D22:D29 D12:F13" xr:uid="{00000000-0002-0000-0100-000005000000}">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
  <sheetViews>
    <sheetView topLeftCell="A12" workbookViewId="0">
      <selection activeCell="E28" sqref="E28"/>
    </sheetView>
  </sheetViews>
  <sheetFormatPr defaultRowHeight="14.25"/>
  <cols>
    <col min="1" max="1" width="9" style="13" customWidth="1"/>
    <col min="2" max="2" width="40.125" style="13" customWidth="1"/>
    <col min="3" max="3" width="56.75" style="122" customWidth="1"/>
    <col min="4" max="6" width="16" style="122" customWidth="1"/>
    <col min="7" max="7" width="18" style="122" customWidth="1"/>
    <col min="8" max="16384" width="9" style="122"/>
  </cols>
  <sheetData>
    <row r="1" spans="1:13" s="13" customFormat="1" ht="33.75" customHeight="1">
      <c r="A1" s="4"/>
      <c r="B1" s="4"/>
      <c r="C1" s="4"/>
      <c r="D1" s="4"/>
      <c r="E1" s="4"/>
      <c r="F1" s="4"/>
      <c r="G1" s="4"/>
      <c r="H1" s="4"/>
    </row>
    <row r="2" spans="1:13" s="13" customFormat="1" ht="71.25" customHeight="1">
      <c r="A2" s="4"/>
      <c r="B2" s="112" t="s">
        <v>128</v>
      </c>
      <c r="C2" s="112"/>
      <c r="D2" s="112"/>
      <c r="E2" s="112"/>
      <c r="F2" s="112"/>
      <c r="G2" s="112"/>
      <c r="H2" s="2"/>
      <c r="I2" s="12"/>
      <c r="J2" s="12"/>
      <c r="K2" s="12"/>
      <c r="L2" s="12"/>
      <c r="M2" s="12"/>
    </row>
    <row r="3" spans="1:13" s="13" customFormat="1" ht="30" customHeight="1">
      <c r="A3" s="4"/>
      <c r="B3" s="105" t="s">
        <v>129</v>
      </c>
      <c r="C3" s="105"/>
      <c r="D3" s="105"/>
      <c r="E3" s="105"/>
      <c r="F3" s="105"/>
      <c r="G3" s="105"/>
      <c r="H3" s="3"/>
      <c r="I3" s="14"/>
      <c r="J3" s="14"/>
      <c r="K3" s="14"/>
      <c r="L3" s="14"/>
      <c r="M3" s="14"/>
    </row>
    <row r="4" spans="1:13" s="13" customFormat="1" ht="30" customHeight="1">
      <c r="A4" s="4"/>
      <c r="B4" s="21"/>
      <c r="C4" s="21"/>
      <c r="D4" s="21"/>
      <c r="E4" s="22"/>
      <c r="F4" s="22"/>
      <c r="G4" s="22"/>
      <c r="H4" s="3"/>
      <c r="I4" s="14"/>
      <c r="J4" s="14"/>
      <c r="K4" s="14"/>
      <c r="L4" s="14"/>
      <c r="M4" s="14"/>
    </row>
    <row r="5" spans="1:13" s="13" customFormat="1" ht="27.95" customHeight="1">
      <c r="A5" s="4"/>
      <c r="B5" s="54" t="s">
        <v>15</v>
      </c>
      <c r="C5" s="54" t="s">
        <v>130</v>
      </c>
      <c r="D5" s="54" t="s">
        <v>16</v>
      </c>
      <c r="E5" s="54" t="s">
        <v>17</v>
      </c>
      <c r="F5" s="54" t="s">
        <v>18</v>
      </c>
      <c r="G5" s="54" t="s">
        <v>41</v>
      </c>
      <c r="H5" s="2"/>
      <c r="I5" s="12"/>
      <c r="J5" s="12"/>
      <c r="K5" s="12"/>
      <c r="L5" s="12"/>
      <c r="M5" s="12"/>
    </row>
    <row r="6" spans="1:13" s="13" customFormat="1" ht="24" customHeight="1">
      <c r="A6" s="4"/>
      <c r="B6" s="55" t="s">
        <v>131</v>
      </c>
      <c r="C6" s="56"/>
      <c r="D6" s="56"/>
      <c r="E6" s="56"/>
      <c r="F6" s="56"/>
      <c r="G6" s="57"/>
      <c r="H6" s="2"/>
      <c r="I6" s="12"/>
      <c r="J6" s="12"/>
      <c r="K6" s="12"/>
      <c r="L6" s="12"/>
      <c r="M6" s="12"/>
    </row>
    <row r="7" spans="1:13" s="13" customFormat="1" ht="24" customHeight="1">
      <c r="A7" s="4"/>
      <c r="B7" s="139" t="s">
        <v>132</v>
      </c>
      <c r="C7" s="134" t="s">
        <v>133</v>
      </c>
      <c r="D7" s="66">
        <f>'Inputs &amp; Guidance'!D7</f>
        <v>250000</v>
      </c>
      <c r="E7" s="66">
        <f>'Inputs &amp; Guidance'!E7</f>
        <v>250000</v>
      </c>
      <c r="F7" s="66">
        <f>'Inputs &amp; Guidance'!F7</f>
        <v>250000</v>
      </c>
      <c r="G7" s="62" t="s">
        <v>46</v>
      </c>
      <c r="H7" s="2"/>
      <c r="I7" s="12"/>
      <c r="J7" s="12"/>
      <c r="K7" s="12"/>
      <c r="L7" s="12"/>
      <c r="M7" s="12"/>
    </row>
    <row r="8" spans="1:13" s="13" customFormat="1" ht="35.25" customHeight="1">
      <c r="A8" s="4"/>
      <c r="B8" s="139" t="s">
        <v>49</v>
      </c>
      <c r="C8" s="134" t="s">
        <v>134</v>
      </c>
      <c r="D8" s="66">
        <f>'Inputs &amp; Guidance'!D8</f>
        <v>1100000</v>
      </c>
      <c r="E8" s="66">
        <f>'Inputs &amp; Guidance'!E8</f>
        <v>1000000</v>
      </c>
      <c r="F8" s="66">
        <f>'Inputs &amp; Guidance'!F8</f>
        <v>900000</v>
      </c>
      <c r="G8" s="62" t="s">
        <v>46</v>
      </c>
      <c r="H8" s="2"/>
      <c r="I8" s="12"/>
      <c r="J8" s="12"/>
      <c r="K8" s="12"/>
      <c r="L8" s="12"/>
      <c r="M8" s="12"/>
    </row>
    <row r="9" spans="1:13" s="13" customFormat="1" ht="24" customHeight="1">
      <c r="A9" s="4"/>
      <c r="B9" s="139" t="s">
        <v>135</v>
      </c>
      <c r="C9" s="134" t="s">
        <v>136</v>
      </c>
      <c r="D9" s="67">
        <f>IF('Inputs &amp; Guidance'!D19="",MIN(1,D7/D8),MIN(1,'Inputs &amp; Guidance'!D19))</f>
        <v>0.22727272727272727</v>
      </c>
      <c r="E9" s="67">
        <f>IF('Inputs &amp; Guidance'!E19="",MIN(1,E7/E8),MIN(1,'Inputs &amp; Guidance'!E19))</f>
        <v>0.25</v>
      </c>
      <c r="F9" s="67">
        <f>IF('Inputs &amp; Guidance'!F19="",MIN(1,F7/F8),MIN(1,'Inputs &amp; Guidance'!F19))</f>
        <v>0.27777777777777779</v>
      </c>
      <c r="G9" s="62" t="s">
        <v>58</v>
      </c>
      <c r="H9" s="2"/>
      <c r="I9" s="12"/>
      <c r="J9" s="12"/>
      <c r="K9" s="12"/>
      <c r="L9" s="12"/>
      <c r="M9" s="12"/>
    </row>
    <row r="10" spans="1:13" s="13" customFormat="1" ht="24" customHeight="1">
      <c r="A10" s="4"/>
      <c r="B10" s="139" t="s">
        <v>137</v>
      </c>
      <c r="C10" s="134" t="s">
        <v>138</v>
      </c>
      <c r="D10" s="66">
        <f>SUMPRODUCT('Inputs &amp; Guidance'!$D$22:$D$29,--('Inputs &amp; Guidance'!$C$22:$C$29="Yes"))</f>
        <v>8000000</v>
      </c>
      <c r="E10" s="66">
        <f>SUMPRODUCT('Inputs &amp; Guidance'!$D$22:$D$29,--('Inputs &amp; Guidance'!$C$22:$C$29="Yes"))</f>
        <v>8000000</v>
      </c>
      <c r="F10" s="66">
        <f>SUMPRODUCT('Inputs &amp; Guidance'!$D$22:$D$29,--('Inputs &amp; Guidance'!$C$22:$C$29="Yes"))</f>
        <v>8000000</v>
      </c>
      <c r="G10" s="62" t="s">
        <v>46</v>
      </c>
      <c r="H10" s="2"/>
      <c r="I10" s="12"/>
      <c r="J10" s="12"/>
      <c r="K10" s="12"/>
      <c r="L10" s="12"/>
      <c r="M10" s="12"/>
    </row>
    <row r="11" spans="1:13" s="13" customFormat="1" ht="39" customHeight="1">
      <c r="A11" s="4"/>
      <c r="B11" s="139" t="s">
        <v>139</v>
      </c>
      <c r="C11" s="134" t="s">
        <v>140</v>
      </c>
      <c r="D11" s="66">
        <f>SUMPRODUCT('Inputs &amp; Guidance'!$D$22:$D$29,'Inputs &amp; Guidance'!$E$22:$E$29,--('Inputs &amp; Guidance'!$C$22:$C$29="Yes"))</f>
        <v>5925000</v>
      </c>
      <c r="E11" s="66">
        <f>SUMPRODUCT('Inputs &amp; Guidance'!$D$22:$D$29,'Inputs &amp; Guidance'!$E$22:$E$29,--('Inputs &amp; Guidance'!$C$22:$C$29="Yes"))</f>
        <v>5925000</v>
      </c>
      <c r="F11" s="66">
        <f>SUMPRODUCT('Inputs &amp; Guidance'!$D$22:$D$29,'Inputs &amp; Guidance'!$E$22:$E$29,--('Inputs &amp; Guidance'!$C$22:$C$29="Yes"))</f>
        <v>5925000</v>
      </c>
      <c r="G11" s="62" t="s">
        <v>46</v>
      </c>
      <c r="H11" s="2"/>
      <c r="I11" s="12"/>
      <c r="J11" s="12"/>
      <c r="K11" s="12"/>
      <c r="L11" s="12"/>
      <c r="M11" s="12"/>
    </row>
    <row r="12" spans="1:13" s="13" customFormat="1" ht="24" customHeight="1">
      <c r="A12" s="4"/>
      <c r="B12" s="139" t="s">
        <v>141</v>
      </c>
      <c r="C12" s="134" t="s">
        <v>142</v>
      </c>
      <c r="D12" s="66">
        <f>D10*'Inputs &amp; Guidance'!D14</f>
        <v>960000</v>
      </c>
      <c r="E12" s="66">
        <f>E10*'Inputs &amp; Guidance'!E14</f>
        <v>1200000</v>
      </c>
      <c r="F12" s="66">
        <f>F10*'Inputs &amp; Guidance'!F14</f>
        <v>1440000</v>
      </c>
      <c r="G12" s="62" t="s">
        <v>65</v>
      </c>
      <c r="H12" s="2"/>
      <c r="I12" s="12"/>
      <c r="J12" s="12"/>
      <c r="K12" s="12"/>
      <c r="L12" s="12"/>
      <c r="M12" s="12"/>
    </row>
    <row r="13" spans="1:13" s="13" customFormat="1" ht="24" customHeight="1">
      <c r="A13" s="4"/>
      <c r="B13" s="139" t="s">
        <v>143</v>
      </c>
      <c r="C13" s="134" t="s">
        <v>144</v>
      </c>
      <c r="D13" s="66">
        <f>D11*'Inputs &amp; Guidance'!D15</f>
        <v>592500</v>
      </c>
      <c r="E13" s="66">
        <f>E11*'Inputs &amp; Guidance'!E15</f>
        <v>474000</v>
      </c>
      <c r="F13" s="66">
        <f>F11*'Inputs &amp; Guidance'!F15</f>
        <v>355500</v>
      </c>
      <c r="G13" s="62" t="s">
        <v>65</v>
      </c>
      <c r="H13" s="2"/>
      <c r="I13" s="12"/>
      <c r="J13" s="12"/>
      <c r="K13" s="12"/>
      <c r="L13" s="12"/>
      <c r="M13" s="12"/>
    </row>
    <row r="14" spans="1:13" s="13" customFormat="1" ht="24" customHeight="1">
      <c r="A14" s="4"/>
      <c r="B14" s="139" t="s">
        <v>145</v>
      </c>
      <c r="C14" s="134" t="s">
        <v>146</v>
      </c>
      <c r="D14" s="66">
        <f>D12-D13</f>
        <v>367500</v>
      </c>
      <c r="E14" s="66">
        <f>E12-E13</f>
        <v>726000</v>
      </c>
      <c r="F14" s="66">
        <f>F12-F13</f>
        <v>1084500</v>
      </c>
      <c r="G14" s="62" t="s">
        <v>65</v>
      </c>
      <c r="H14" s="2"/>
      <c r="I14" s="12"/>
      <c r="J14" s="12"/>
      <c r="K14" s="12"/>
      <c r="L14" s="12"/>
      <c r="M14" s="12"/>
    </row>
    <row r="15" spans="1:13" s="13" customFormat="1" ht="24" customHeight="1">
      <c r="A15" s="4"/>
      <c r="B15" s="139" t="s">
        <v>147</v>
      </c>
      <c r="C15" s="134" t="s">
        <v>148</v>
      </c>
      <c r="D15" s="66">
        <f>SUMPRODUCT(('Inputs &amp; Guidance'!$D$22:$D$29*'Inputs &amp; Guidance'!D$14-'Inputs &amp; Guidance'!$D$22:$D$29*'Inputs &amp; Guidance'!$E$22:$E$29*'Inputs &amp; Guidance'!D$15),--('Inputs &amp; Guidance'!$C$22:$C$29="Yes"),'Inputs &amp; Guidance'!$F$22:$F$29)</f>
        <v>299100</v>
      </c>
      <c r="E15" s="66">
        <f>SUMPRODUCT(('Inputs &amp; Guidance'!$D$22:$D$29*'Inputs &amp; Guidance'!E$14-'Inputs &amp; Guidance'!$D$22:$D$29*'Inputs &amp; Guidance'!$E$22:$E$29*'Inputs &amp; Guidance'!E$15),--('Inputs &amp; Guidance'!$C$22:$C$29="Yes"),'Inputs &amp; Guidance'!$F$22:$F$29)</f>
        <v>588660</v>
      </c>
      <c r="F15" s="66">
        <f>SUMPRODUCT(('Inputs &amp; Guidance'!$D$22:$D$29*'Inputs &amp; Guidance'!F$14-'Inputs &amp; Guidance'!$D$22:$D$29*'Inputs &amp; Guidance'!$E$22:$E$29*'Inputs &amp; Guidance'!F$15),--('Inputs &amp; Guidance'!$C$22:$C$29="Yes"),'Inputs &amp; Guidance'!$F$22:$F$29)</f>
        <v>878220</v>
      </c>
      <c r="G15" s="62" t="s">
        <v>65</v>
      </c>
      <c r="H15" s="2"/>
      <c r="I15" s="12"/>
      <c r="J15" s="12"/>
      <c r="K15" s="12"/>
      <c r="L15" s="12"/>
      <c r="M15" s="12"/>
    </row>
    <row r="16" spans="1:13" s="13" customFormat="1" ht="36.75" customHeight="1">
      <c r="A16" s="4"/>
      <c r="B16" s="139" t="s">
        <v>3</v>
      </c>
      <c r="C16" s="134" t="s">
        <v>149</v>
      </c>
      <c r="D16" s="67">
        <f>IF(SUMPRODUCT('Inputs &amp; Guidance'!$D$22:$D$29,--('Inputs &amp; Guidance'!$C$22:$C$29="Yes"))=0,0,SUMPRODUCT('Inputs &amp; Guidance'!$D$22:$D$29,--('Inputs &amp; Guidance'!$C$22:$C$29="Yes"),'Inputs &amp; Guidance'!$F$22:$F$29)/SUMPRODUCT('Inputs &amp; Guidance'!$D$22:$D$29,--('Inputs &amp; Guidance'!$C$22:$C$29="Yes")))</f>
        <v>0.80874999999999997</v>
      </c>
      <c r="E16" s="67">
        <f>IF(SUMPRODUCT('Inputs &amp; Guidance'!$D$22:$D$29,--('Inputs &amp; Guidance'!$C$22:$C$29="Yes"))=0,0,SUMPRODUCT('Inputs &amp; Guidance'!$D$22:$D$29,--('Inputs &amp; Guidance'!$C$22:$C$29="Yes"),'Inputs &amp; Guidance'!$F$22:$F$29)/SUMPRODUCT('Inputs &amp; Guidance'!$D$22:$D$29,--('Inputs &amp; Guidance'!$C$22:$C$29="Yes")))</f>
        <v>0.80874999999999997</v>
      </c>
      <c r="F16" s="67">
        <f>IF(SUMPRODUCT('Inputs &amp; Guidance'!$D$22:$D$29,--('Inputs &amp; Guidance'!$C$22:$C$29="Yes"))=0,0,SUMPRODUCT('Inputs &amp; Guidance'!$D$22:$D$29,--('Inputs &amp; Guidance'!$C$22:$C$29="Yes"),'Inputs &amp; Guidance'!$F$22:$F$29)/SUMPRODUCT('Inputs &amp; Guidance'!$D$22:$D$29,--('Inputs &amp; Guidance'!$C$22:$C$29="Yes")))</f>
        <v>0.80874999999999997</v>
      </c>
      <c r="G16" s="62" t="s">
        <v>58</v>
      </c>
      <c r="H16" s="2"/>
      <c r="I16" s="12"/>
      <c r="J16" s="12"/>
      <c r="K16" s="12"/>
      <c r="L16" s="12"/>
      <c r="M16" s="12"/>
    </row>
    <row r="17" spans="1:13" s="13" customFormat="1" ht="24" customHeight="1">
      <c r="A17" s="4"/>
      <c r="B17" s="58" t="s">
        <v>150</v>
      </c>
      <c r="C17" s="59"/>
      <c r="D17" s="85"/>
      <c r="E17" s="60"/>
      <c r="F17" s="86"/>
      <c r="G17" s="61"/>
      <c r="H17" s="2"/>
      <c r="I17" s="12"/>
      <c r="J17" s="12"/>
      <c r="K17" s="12"/>
      <c r="L17" s="12"/>
      <c r="M17" s="12"/>
    </row>
    <row r="18" spans="1:13" s="13" customFormat="1" ht="37.5" customHeight="1">
      <c r="A18" s="4"/>
      <c r="B18" s="139" t="s">
        <v>151</v>
      </c>
      <c r="C18" s="134" t="s">
        <v>152</v>
      </c>
      <c r="D18" s="68">
        <f>IF('Inputs &amp; Guidance'!D9&lt;=0,0,IF(ABS(1-(1-'Inputs &amp; Guidance'!D11)/(1+'Inputs &amp; Guidance'!D10))&lt;0.0000001,'Inputs &amp; Guidance'!D9,1/(1+'Inputs &amp; Guidance'!D10)*(1-((1-'Inputs &amp; Guidance'!D11)/(1+'Inputs &amp; Guidance'!D10))^'Inputs &amp; Guidance'!D9)/(1-(1-'Inputs &amp; Guidance'!D11)/(1+'Inputs &amp; Guidance'!D10))))</f>
        <v>5.8277594319002688</v>
      </c>
      <c r="E18" s="68">
        <f>IF('Inputs &amp; Guidance'!E9&lt;=0,0,IF(ABS(1-(1-'Inputs &amp; Guidance'!E11)/(1+'Inputs &amp; Guidance'!E10))&lt;0.0000001,'Inputs &amp; Guidance'!E9,1/(1+'Inputs &amp; Guidance'!E10)*(1-((1-'Inputs &amp; Guidance'!E11)/(1+'Inputs &amp; Guidance'!E10))^'Inputs &amp; Guidance'!E9)/(1-(1-'Inputs &amp; Guidance'!E11)/(1+'Inputs &amp; Guidance'!E10))))</f>
        <v>7.7806375039145133</v>
      </c>
      <c r="F18" s="68">
        <f>IF('Inputs &amp; Guidance'!F9&lt;=0,0,IF(ABS(1-(1-'Inputs &amp; Guidance'!F11)/(1+'Inputs &amp; Guidance'!F10))&lt;0.0000001,'Inputs &amp; Guidance'!F9,1/(1+'Inputs &amp; Guidance'!F10)*(1-((1-'Inputs &amp; Guidance'!F11)/(1+'Inputs &amp; Guidance'!F10))^'Inputs &amp; Guidance'!F9)/(1-(1-'Inputs &amp; Guidance'!F11)/(1+'Inputs &amp; Guidance'!F10))))</f>
        <v>11.74742101317338</v>
      </c>
      <c r="G18" s="62" t="s">
        <v>153</v>
      </c>
      <c r="H18" s="2"/>
      <c r="I18" s="12"/>
      <c r="J18" s="12"/>
      <c r="K18" s="12"/>
      <c r="L18" s="12"/>
      <c r="M18" s="12"/>
    </row>
    <row r="19" spans="1:13" s="13" customFormat="1" ht="24" customHeight="1">
      <c r="A19" s="4"/>
      <c r="B19" s="139" t="s">
        <v>154</v>
      </c>
      <c r="C19" s="134" t="s">
        <v>155</v>
      </c>
      <c r="D19" s="66">
        <f>D14*D18</f>
        <v>2141701.5912233489</v>
      </c>
      <c r="E19" s="66">
        <f>E14*E18</f>
        <v>5648742.8278419366</v>
      </c>
      <c r="F19" s="66">
        <f>F14*F18</f>
        <v>12740078.088786531</v>
      </c>
      <c r="G19" s="62" t="s">
        <v>46</v>
      </c>
      <c r="H19" s="2"/>
      <c r="I19" s="12"/>
      <c r="J19" s="12"/>
      <c r="K19" s="12"/>
      <c r="L19" s="12"/>
      <c r="M19" s="12"/>
    </row>
    <row r="20" spans="1:13" s="13" customFormat="1" ht="24" customHeight="1">
      <c r="A20" s="4"/>
      <c r="B20" s="139" t="s">
        <v>156</v>
      </c>
      <c r="C20" s="134" t="s">
        <v>157</v>
      </c>
      <c r="D20" s="66">
        <f>D15*D18</f>
        <v>1743082.8460813705</v>
      </c>
      <c r="E20" s="66">
        <f>E15*E18</f>
        <v>4580150.0730543174</v>
      </c>
      <c r="F20" s="66">
        <f>F15*F18</f>
        <v>10316820.082189126</v>
      </c>
      <c r="G20" s="62" t="s">
        <v>46</v>
      </c>
      <c r="H20" s="2"/>
      <c r="I20" s="12"/>
      <c r="J20" s="12"/>
      <c r="K20" s="12"/>
      <c r="L20" s="12"/>
      <c r="M20" s="12"/>
    </row>
    <row r="21" spans="1:13" s="13" customFormat="1" ht="24" customHeight="1">
      <c r="A21" s="4"/>
      <c r="B21" s="139" t="s">
        <v>158</v>
      </c>
      <c r="C21" s="134" t="s">
        <v>159</v>
      </c>
      <c r="D21" s="66">
        <f>IF('Inputs &amp; Guidance'!D10=0,'Inputs &amp; Guidance'!D12*'Inputs &amp; Guidance'!D9,'Inputs &amp; Guidance'!D12*(1-(1+'Inputs &amp; Guidance'!D10)^(-'Inputs &amp; Guidance'!D9))/'Inputs &amp; Guidance'!D10)+'Inputs &amp; Guidance'!D13</f>
        <v>317342.78338393453</v>
      </c>
      <c r="E21" s="66">
        <f>IF('Inputs &amp; Guidance'!E10=0,'Inputs &amp; Guidance'!E12*'Inputs &amp; Guidance'!E9,'Inputs &amp; Guidance'!E12*(1-(1+'Inputs &amp; Guidance'!E10)^(-'Inputs &amp; Guidance'!E9))/'Inputs &amp; Guidance'!E10)+'Inputs &amp; Guidance'!E13</f>
        <v>252772.39448387592</v>
      </c>
      <c r="F21" s="66">
        <f>IF('Inputs &amp; Guidance'!F10=0,'Inputs &amp; Guidance'!F12*'Inputs &amp; Guidance'!F9,'Inputs &amp; Guidance'!F12*(1-(1+'Inputs &amp; Guidance'!F10)^(-'Inputs &amp; Guidance'!F9))/'Inputs &amp; Guidance'!F10)+'Inputs &amp; Guidance'!F13</f>
        <v>204069.02630164116</v>
      </c>
      <c r="G21" s="62" t="s">
        <v>46</v>
      </c>
      <c r="H21" s="2"/>
      <c r="I21" s="12"/>
      <c r="J21" s="12"/>
      <c r="K21" s="12"/>
      <c r="L21" s="12"/>
      <c r="M21" s="12"/>
    </row>
    <row r="22" spans="1:13" s="13" customFormat="1" ht="24" customHeight="1">
      <c r="A22" s="4"/>
      <c r="B22" s="139" t="s">
        <v>26</v>
      </c>
      <c r="C22" s="134" t="s">
        <v>160</v>
      </c>
      <c r="D22" s="66">
        <f>D20-D21</f>
        <v>1425740.062697436</v>
      </c>
      <c r="E22" s="66">
        <f>E20-E21</f>
        <v>4327377.6785704419</v>
      </c>
      <c r="F22" s="66">
        <f>F20-F21</f>
        <v>10112751.055887485</v>
      </c>
      <c r="G22" s="62" t="s">
        <v>46</v>
      </c>
      <c r="H22" s="2"/>
      <c r="I22" s="12"/>
      <c r="J22" s="12"/>
      <c r="K22" s="12"/>
      <c r="L22" s="12"/>
      <c r="M22" s="12"/>
    </row>
    <row r="23" spans="1:13" s="13" customFormat="1" ht="30" customHeight="1">
      <c r="A23" s="4"/>
      <c r="B23" s="58" t="s">
        <v>161</v>
      </c>
      <c r="C23" s="59"/>
      <c r="D23" s="85"/>
      <c r="E23" s="60"/>
      <c r="F23" s="86"/>
      <c r="G23" s="61"/>
      <c r="H23" s="2"/>
      <c r="I23" s="12"/>
      <c r="J23" s="12"/>
      <c r="K23" s="12"/>
      <c r="L23" s="12"/>
      <c r="M23" s="12"/>
    </row>
    <row r="24" spans="1:13" s="13" customFormat="1" ht="24" customHeight="1">
      <c r="A24" s="4"/>
      <c r="B24" s="139" t="s">
        <v>162</v>
      </c>
      <c r="C24" s="134" t="s">
        <v>163</v>
      </c>
      <c r="D24" s="67">
        <f>'Inputs &amp; Guidance'!D16*'Inputs &amp; Guidance'!D17*'Inputs &amp; Guidance'!D18</f>
        <v>0.36</v>
      </c>
      <c r="E24" s="67">
        <f>'Inputs &amp; Guidance'!E16*'Inputs &amp; Guidance'!E17*'Inputs &amp; Guidance'!E18</f>
        <v>0.68400000000000005</v>
      </c>
      <c r="F24" s="67">
        <f>'Inputs &amp; Guidance'!F16*'Inputs &amp; Guidance'!F17*'Inputs &amp; Guidance'!F18</f>
        <v>0.93099999999999994</v>
      </c>
      <c r="G24" s="62" t="s">
        <v>58</v>
      </c>
      <c r="H24" s="2"/>
      <c r="I24" s="12"/>
      <c r="J24" s="12"/>
      <c r="K24" s="12"/>
      <c r="L24" s="12"/>
      <c r="M24" s="12"/>
    </row>
    <row r="25" spans="1:13" s="13" customFormat="1" ht="42" customHeight="1">
      <c r="A25" s="4"/>
      <c r="B25" s="139" t="s">
        <v>164</v>
      </c>
      <c r="C25" s="139" t="s">
        <v>165</v>
      </c>
      <c r="D25" s="129">
        <f>MAX(0,D22)*D24*D9</f>
        <v>116651.45967524475</v>
      </c>
      <c r="E25" s="129">
        <f>MAX(0,E22)*E24*E9</f>
        <v>739981.58303554566</v>
      </c>
      <c r="F25" s="129">
        <f>MAX(0,F22)*F24*F9</f>
        <v>2615269.7869531247</v>
      </c>
      <c r="G25" s="53" t="s">
        <v>46</v>
      </c>
      <c r="H25" s="2"/>
      <c r="I25" s="12"/>
      <c r="J25" s="12"/>
      <c r="K25" s="12"/>
      <c r="L25" s="12"/>
      <c r="M25" s="12"/>
    </row>
    <row r="26" spans="1:13" s="13" customFormat="1" ht="24" customHeight="1">
      <c r="A26" s="4"/>
      <c r="B26" s="139" t="s">
        <v>166</v>
      </c>
      <c r="C26" s="134" t="s">
        <v>167</v>
      </c>
      <c r="D26" s="142">
        <f>-D7</f>
        <v>-250000</v>
      </c>
      <c r="E26" s="142">
        <f>-E7</f>
        <v>-250000</v>
      </c>
      <c r="F26" s="142">
        <f>-F7</f>
        <v>-250000</v>
      </c>
      <c r="G26" s="62" t="s">
        <v>46</v>
      </c>
      <c r="H26" s="2"/>
      <c r="I26" s="12"/>
      <c r="J26" s="12"/>
      <c r="K26" s="12"/>
      <c r="L26" s="12"/>
      <c r="M26" s="12"/>
    </row>
    <row r="27" spans="1:13" s="13" customFormat="1" ht="24" customHeight="1">
      <c r="A27" s="4"/>
      <c r="B27" s="139" t="s">
        <v>168</v>
      </c>
      <c r="C27" s="139" t="s">
        <v>169</v>
      </c>
      <c r="D27" s="129">
        <f>D25+D26</f>
        <v>-133348.54032475525</v>
      </c>
      <c r="E27" s="129">
        <f>E25+E26</f>
        <v>489981.58303554566</v>
      </c>
      <c r="F27" s="129">
        <f>F25+F26</f>
        <v>2365269.7869531247</v>
      </c>
      <c r="G27" s="53" t="s">
        <v>46</v>
      </c>
      <c r="H27" s="2"/>
      <c r="I27" s="12"/>
      <c r="J27" s="12"/>
      <c r="K27" s="12"/>
      <c r="L27" s="12"/>
      <c r="M27" s="12"/>
    </row>
    <row r="28" spans="1:13" s="13" customFormat="1" ht="24" customHeight="1">
      <c r="A28" s="4"/>
      <c r="B28" s="139" t="s">
        <v>170</v>
      </c>
      <c r="C28" s="139" t="s">
        <v>171</v>
      </c>
      <c r="D28" s="140">
        <f>IF(D7=0,0,D25/D7)</f>
        <v>0.46660583870097899</v>
      </c>
      <c r="E28" s="166">
        <f>IF(E7=0,0,E25/E7)</f>
        <v>2.9599263321421825</v>
      </c>
      <c r="F28" s="166">
        <f>IF(F7=0,0,F25/F7)</f>
        <v>10.461079147812498</v>
      </c>
      <c r="G28" s="53" t="s">
        <v>153</v>
      </c>
      <c r="H28" s="2"/>
      <c r="I28" s="12"/>
      <c r="J28" s="12"/>
      <c r="K28" s="12"/>
      <c r="L28" s="12"/>
      <c r="M28" s="12"/>
    </row>
    <row r="29" spans="1:13" s="13" customFormat="1" ht="24" customHeight="1">
      <c r="A29" s="4"/>
      <c r="B29" s="139" t="s">
        <v>172</v>
      </c>
      <c r="C29" s="139" t="s">
        <v>173</v>
      </c>
      <c r="D29" s="140">
        <f>IF(D7=0,0,D27/D7)</f>
        <v>-0.53339416129902095</v>
      </c>
      <c r="E29" s="166">
        <f>IF(E7=0,0,E27/E7)</f>
        <v>1.9599263321421827</v>
      </c>
      <c r="F29" s="166">
        <f>IF(F7=0,0,F27/F7)</f>
        <v>9.461079147812498</v>
      </c>
      <c r="G29" s="53" t="s">
        <v>153</v>
      </c>
      <c r="H29" s="2"/>
      <c r="I29" s="12"/>
      <c r="J29" s="12"/>
      <c r="K29" s="12"/>
      <c r="L29" s="12"/>
      <c r="M29" s="12"/>
    </row>
    <row r="30" spans="1:13" s="13" customFormat="1" ht="24" customHeight="1">
      <c r="A30" s="4"/>
      <c r="B30" s="139" t="s">
        <v>29</v>
      </c>
      <c r="C30" s="139" t="s">
        <v>174</v>
      </c>
      <c r="D30" s="141">
        <f>IF(D15*D24*D9&lt;=0,"N/A",D7/(D15*D24*D9))</f>
        <v>10.21583268323489</v>
      </c>
      <c r="E30" s="141">
        <f>IF(E15*E24*E9&lt;=0,"N/A",E7/(E15*E24*E9))</f>
        <v>2.4835869671687685</v>
      </c>
      <c r="F30" s="141">
        <f>IF(F15*F24*F9&lt;=0,"N/A",F7/(F15*F24*F9))</f>
        <v>1.1007520558195771</v>
      </c>
      <c r="G30" s="53" t="s">
        <v>54</v>
      </c>
      <c r="H30" s="2"/>
      <c r="I30" s="12"/>
      <c r="J30" s="12"/>
      <c r="K30" s="12"/>
      <c r="L30" s="12"/>
      <c r="M30" s="12"/>
    </row>
    <row r="31" spans="1:13" s="13" customFormat="1" ht="15">
      <c r="A31" s="4"/>
      <c r="B31" s="11"/>
      <c r="C31" s="11"/>
      <c r="D31" s="11"/>
      <c r="E31" s="11"/>
      <c r="F31" s="11"/>
      <c r="G31" s="11"/>
      <c r="H31" s="4"/>
    </row>
    <row r="32" spans="1:13" s="13" customFormat="1" ht="15">
      <c r="A32" s="4"/>
      <c r="B32" s="11"/>
      <c r="C32" s="11"/>
      <c r="D32" s="11"/>
      <c r="E32" s="11"/>
      <c r="F32" s="11"/>
      <c r="G32" s="11"/>
      <c r="H32" s="4"/>
    </row>
  </sheetData>
  <mergeCells count="2">
    <mergeCell ref="B2:G2"/>
    <mergeCell ref="B3:G3"/>
  </mergeCells>
  <conditionalFormatting sqref="D25:F25">
    <cfRule type="expression" dxfId="30" priority="1">
      <formula>D25&gt;=ABS(D26)</formula>
    </cfRule>
    <cfRule type="expression" dxfId="29" priority="2">
      <formula>AND(D25&gt;=0.5*ABS(D26),D25&lt;ABS(D26))</formula>
    </cfRule>
    <cfRule type="expression" dxfId="28" priority="3">
      <formula>D25&lt;0.5*ABS(D26)</formula>
    </cfRule>
    <cfRule type="expression" dxfId="27" priority="13">
      <formula>D25&lt;=0</formula>
    </cfRule>
    <cfRule type="expression" dxfId="26" priority="14">
      <formula>D25&gt;0</formula>
    </cfRule>
    <cfRule type="expression" dxfId="25" priority="23">
      <formula>D25&lt;=0</formula>
    </cfRule>
    <cfRule type="expression" dxfId="24" priority="24">
      <formula>D25&gt;0</formula>
    </cfRule>
  </conditionalFormatting>
  <conditionalFormatting sqref="D27:F27">
    <cfRule type="expression" dxfId="23" priority="4">
      <formula>D27&gt;=0.1*ABS(D26)</formula>
    </cfRule>
    <cfRule type="expression" dxfId="22" priority="5">
      <formula>AND(D27&gt;-0.1*ABS(D26),D27&lt;0.1*ABS(D26))</formula>
    </cfRule>
    <cfRule type="expression" dxfId="21" priority="6">
      <formula>D27&lt;=-0.1*ABS(D26)</formula>
    </cfRule>
    <cfRule type="expression" dxfId="20" priority="15">
      <formula>D27&lt;0</formula>
    </cfRule>
    <cfRule type="expression" dxfId="19" priority="16">
      <formula>D27&gt;=0</formula>
    </cfRule>
    <cfRule type="expression" dxfId="18" priority="25">
      <formula>D27&lt;0</formula>
    </cfRule>
    <cfRule type="expression" dxfId="17" priority="26">
      <formula>D27&gt;=0</formula>
    </cfRule>
  </conditionalFormatting>
  <conditionalFormatting sqref="D28:F28">
    <cfRule type="expression" dxfId="16" priority="8">
      <formula>AND(D28&gt;=0.5,D28&lt;1)</formula>
    </cfRule>
    <cfRule type="expression" dxfId="15" priority="9">
      <formula>D28&lt;0.5</formula>
    </cfRule>
    <cfRule type="expression" dxfId="14" priority="17">
      <formula>D28&lt;1</formula>
    </cfRule>
    <cfRule type="expression" dxfId="13" priority="18">
      <formula>AND(D28&gt;=1,D28&lt;2)</formula>
    </cfRule>
    <cfRule type="expression" dxfId="12" priority="19">
      <formula>D28&gt;=2</formula>
    </cfRule>
    <cfRule type="expression" dxfId="11" priority="27">
      <formula>D28&lt;1</formula>
    </cfRule>
    <cfRule type="expression" dxfId="10" priority="28">
      <formula>AND(D28&gt;=1,D28&lt;2)</formula>
    </cfRule>
    <cfRule type="expression" dxfId="9" priority="29">
      <formula>D28&gt;=2</formula>
    </cfRule>
  </conditionalFormatting>
  <conditionalFormatting sqref="D28:F29">
    <cfRule type="expression" dxfId="8" priority="7">
      <formula>D28&gt;=1</formula>
    </cfRule>
  </conditionalFormatting>
  <conditionalFormatting sqref="D29:F29">
    <cfRule type="expression" dxfId="7" priority="11">
      <formula>AND(D29&gt;=0,D29&lt;1)</formula>
    </cfRule>
    <cfRule type="expression" dxfId="6" priority="12">
      <formula>D29&lt;0</formula>
    </cfRule>
    <cfRule type="expression" dxfId="5" priority="20">
      <formula>D29&lt;0</formula>
    </cfRule>
    <cfRule type="expression" dxfId="4" priority="21">
      <formula>AND(D29&gt;=0,D29&lt;1)</formula>
    </cfRule>
    <cfRule type="expression" dxfId="3" priority="22">
      <formula>D29&gt;=1</formula>
    </cfRule>
    <cfRule type="expression" dxfId="2" priority="30">
      <formula>D29&lt;0</formula>
    </cfRule>
    <cfRule type="expression" dxfId="1" priority="31">
      <formula>AND(D29&gt;=0,D29&lt;1)</formula>
    </cfRule>
    <cfRule type="expression" dxfId="0" priority="32">
      <formula>D29&gt;=1</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0"/>
  <sheetViews>
    <sheetView workbookViewId="0">
      <selection activeCell="B5" sqref="B5:C8"/>
    </sheetView>
  </sheetViews>
  <sheetFormatPr defaultRowHeight="14.25"/>
  <cols>
    <col min="1" max="1" width="9" style="13" customWidth="1"/>
    <col min="2" max="2" width="31.75" style="13" customWidth="1"/>
    <col min="3" max="3" width="58" style="13" customWidth="1"/>
    <col min="4" max="4" width="21.5" style="13" customWidth="1"/>
    <col min="5" max="5" width="21" style="13" customWidth="1"/>
    <col min="6" max="6" width="45" style="13" customWidth="1"/>
    <col min="7" max="7" width="32" style="13" customWidth="1"/>
    <col min="8" max="8" width="9" style="13"/>
    <col min="9" max="9" width="4.5" style="13" customWidth="1"/>
    <col min="10" max="16384" width="9" style="13"/>
  </cols>
  <sheetData>
    <row r="1" spans="1:13" ht="26.1" customHeight="1">
      <c r="A1" s="4"/>
      <c r="B1" s="4"/>
      <c r="C1" s="4"/>
      <c r="D1" s="4"/>
      <c r="E1"/>
      <c r="F1"/>
      <c r="G1"/>
    </row>
    <row r="2" spans="1:13" ht="48" customHeight="1">
      <c r="A2" s="4"/>
      <c r="B2" s="112" t="s">
        <v>175</v>
      </c>
      <c r="C2" s="112"/>
      <c r="D2" s="5"/>
      <c r="E2" s="24"/>
      <c r="F2" s="24"/>
      <c r="G2" s="24"/>
      <c r="H2" s="12"/>
      <c r="I2" s="12"/>
      <c r="J2" s="12"/>
      <c r="K2" s="12"/>
      <c r="L2" s="12"/>
      <c r="M2" s="12"/>
    </row>
    <row r="3" spans="1:13" ht="30" customHeight="1">
      <c r="A3" s="4"/>
      <c r="B3" s="105" t="s">
        <v>176</v>
      </c>
      <c r="C3" s="105"/>
      <c r="D3" s="10"/>
      <c r="E3" s="23"/>
      <c r="F3" s="23"/>
      <c r="G3" s="23"/>
      <c r="H3" s="14"/>
      <c r="I3" s="14"/>
      <c r="J3" s="14"/>
      <c r="K3" s="14"/>
      <c r="L3" s="14"/>
      <c r="M3" s="14"/>
    </row>
    <row r="4" spans="1:13" ht="21.95" customHeight="1">
      <c r="A4" s="4"/>
      <c r="B4" s="113" t="s">
        <v>177</v>
      </c>
      <c r="C4" s="113"/>
      <c r="D4" s="9"/>
      <c r="E4" s="25"/>
      <c r="F4" s="25"/>
      <c r="G4" s="25"/>
      <c r="H4" s="12"/>
      <c r="I4" s="12"/>
      <c r="J4" s="12"/>
      <c r="K4" s="12"/>
      <c r="L4" s="12"/>
      <c r="M4" s="12"/>
    </row>
    <row r="5" spans="1:13" ht="24" customHeight="1">
      <c r="A5" s="4"/>
      <c r="B5" s="114" t="s">
        <v>178</v>
      </c>
      <c r="C5" s="115"/>
      <c r="D5" s="8"/>
      <c r="E5" s="26"/>
      <c r="F5" s="26"/>
      <c r="G5" s="26"/>
      <c r="H5" s="12"/>
      <c r="I5" s="12"/>
      <c r="J5" s="12"/>
      <c r="K5" s="12"/>
      <c r="L5" s="12"/>
      <c r="M5" s="12"/>
    </row>
    <row r="6" spans="1:13" ht="24" customHeight="1">
      <c r="A6" s="4"/>
      <c r="B6" s="116"/>
      <c r="C6" s="117"/>
      <c r="D6" s="8"/>
      <c r="E6" s="26"/>
      <c r="F6" s="26"/>
      <c r="G6" s="26"/>
      <c r="H6" s="12"/>
      <c r="I6" s="12"/>
      <c r="J6" s="12"/>
      <c r="K6" s="12"/>
      <c r="L6" s="12"/>
      <c r="M6" s="12"/>
    </row>
    <row r="7" spans="1:13" ht="24" customHeight="1">
      <c r="A7" s="4"/>
      <c r="B7" s="116"/>
      <c r="C7" s="117"/>
      <c r="D7" s="8"/>
      <c r="E7" s="26"/>
      <c r="F7" s="26"/>
      <c r="G7" s="26"/>
      <c r="H7" s="12"/>
      <c r="I7" s="12"/>
      <c r="J7" s="12"/>
      <c r="K7" s="12"/>
      <c r="L7" s="12"/>
      <c r="M7" s="12"/>
    </row>
    <row r="8" spans="1:13" ht="24" customHeight="1">
      <c r="A8" s="4"/>
      <c r="B8" s="118"/>
      <c r="C8" s="119"/>
      <c r="D8" s="8"/>
      <c r="E8" s="26"/>
      <c r="F8" s="26"/>
      <c r="G8" s="26"/>
      <c r="H8" s="12"/>
      <c r="I8" s="12"/>
      <c r="J8" s="12"/>
      <c r="K8" s="12"/>
      <c r="L8" s="12"/>
      <c r="M8" s="12"/>
    </row>
    <row r="9" spans="1:13" ht="30" customHeight="1">
      <c r="A9" s="4"/>
      <c r="B9" s="120" t="s">
        <v>179</v>
      </c>
      <c r="C9" s="120"/>
      <c r="D9" s="6"/>
      <c r="E9" s="27"/>
      <c r="F9" s="27"/>
      <c r="G9" s="27"/>
      <c r="H9" s="12"/>
      <c r="I9" s="12"/>
      <c r="J9" s="12"/>
      <c r="K9" s="12"/>
      <c r="L9" s="12"/>
      <c r="M9" s="12"/>
    </row>
    <row r="10" spans="1:13" ht="33.950000000000003" customHeight="1">
      <c r="A10" s="4"/>
      <c r="B10" s="63" t="s">
        <v>141</v>
      </c>
      <c r="C10" s="38" t="s">
        <v>180</v>
      </c>
      <c r="D10" s="7"/>
      <c r="E10" s="28"/>
      <c r="F10" s="28"/>
      <c r="G10" s="28"/>
      <c r="H10" s="12"/>
      <c r="I10" s="12"/>
      <c r="J10" s="12"/>
      <c r="K10" s="12"/>
      <c r="L10" s="12"/>
      <c r="M10" s="12"/>
    </row>
    <row r="11" spans="1:13" ht="33.950000000000003" customHeight="1">
      <c r="A11" s="4"/>
      <c r="B11" s="64" t="s">
        <v>143</v>
      </c>
      <c r="C11" s="39" t="s">
        <v>181</v>
      </c>
      <c r="D11" s="7"/>
      <c r="E11" s="28"/>
      <c r="F11" s="28"/>
      <c r="G11" s="28"/>
      <c r="H11" s="12"/>
      <c r="I11" s="12"/>
      <c r="J11" s="12"/>
      <c r="K11" s="12"/>
      <c r="L11" s="12"/>
      <c r="M11" s="12"/>
    </row>
    <row r="12" spans="1:13" ht="33.950000000000003" customHeight="1">
      <c r="A12" s="4"/>
      <c r="B12" s="64" t="s">
        <v>182</v>
      </c>
      <c r="C12" s="39" t="s">
        <v>183</v>
      </c>
      <c r="D12" s="7"/>
      <c r="E12" s="28"/>
      <c r="F12" s="28"/>
      <c r="G12" s="28"/>
      <c r="H12" s="12"/>
      <c r="I12" s="12"/>
      <c r="J12" s="12"/>
      <c r="K12" s="12"/>
      <c r="L12" s="12"/>
      <c r="M12" s="12"/>
    </row>
    <row r="13" spans="1:13" ht="33.950000000000003" customHeight="1">
      <c r="A13" s="4"/>
      <c r="B13" s="64" t="s">
        <v>147</v>
      </c>
      <c r="C13" s="39" t="s">
        <v>184</v>
      </c>
      <c r="D13" s="7"/>
      <c r="E13" s="28"/>
      <c r="F13" s="28"/>
      <c r="G13" s="28"/>
      <c r="H13" s="12"/>
      <c r="I13" s="12"/>
      <c r="J13" s="12"/>
      <c r="K13" s="12"/>
      <c r="L13" s="12"/>
      <c r="M13" s="12"/>
    </row>
    <row r="14" spans="1:13" ht="33.950000000000003" customHeight="1">
      <c r="A14" s="4"/>
      <c r="B14" s="64" t="s">
        <v>26</v>
      </c>
      <c r="C14" s="39" t="s">
        <v>185</v>
      </c>
      <c r="D14" s="7"/>
      <c r="E14" s="28"/>
      <c r="F14" s="28"/>
      <c r="G14" s="28"/>
      <c r="H14" s="12"/>
      <c r="I14" s="12"/>
      <c r="J14" s="12"/>
      <c r="K14" s="12"/>
      <c r="L14" s="12"/>
      <c r="M14" s="12"/>
    </row>
    <row r="15" spans="1:13" ht="33.950000000000003" customHeight="1">
      <c r="A15" s="4"/>
      <c r="B15" s="64" t="s">
        <v>186</v>
      </c>
      <c r="C15" s="39" t="s">
        <v>187</v>
      </c>
      <c r="D15" s="7"/>
      <c r="E15" s="28"/>
      <c r="F15" s="28"/>
      <c r="G15" s="28"/>
      <c r="H15" s="12"/>
      <c r="I15" s="12"/>
      <c r="J15" s="12"/>
      <c r="K15" s="12"/>
      <c r="L15" s="12"/>
      <c r="M15" s="12"/>
    </row>
    <row r="16" spans="1:13" ht="33.950000000000003" customHeight="1">
      <c r="A16" s="4"/>
      <c r="B16" s="65" t="s">
        <v>0</v>
      </c>
      <c r="C16" s="40" t="s">
        <v>188</v>
      </c>
      <c r="D16" s="7"/>
      <c r="E16" s="28"/>
      <c r="F16" s="28"/>
      <c r="G16" s="28"/>
      <c r="H16" s="12"/>
      <c r="I16" s="12"/>
      <c r="J16" s="12"/>
      <c r="K16" s="12"/>
      <c r="L16" s="12"/>
      <c r="M16" s="12"/>
    </row>
    <row r="17" spans="1:13" ht="30.95" customHeight="1">
      <c r="A17" s="4"/>
      <c r="B17" s="121" t="s">
        <v>189</v>
      </c>
      <c r="C17" s="121"/>
      <c r="D17" s="6"/>
      <c r="E17" s="27"/>
      <c r="F17" s="27"/>
      <c r="G17" s="27"/>
      <c r="H17" s="12"/>
      <c r="I17" s="12"/>
      <c r="J17" s="12"/>
      <c r="K17" s="12"/>
      <c r="L17" s="12"/>
      <c r="M17" s="12"/>
    </row>
    <row r="18" spans="1:13" ht="42" customHeight="1">
      <c r="A18" s="4"/>
      <c r="B18" s="52" t="s">
        <v>190</v>
      </c>
      <c r="C18" s="38" t="s">
        <v>191</v>
      </c>
      <c r="D18" s="7"/>
      <c r="E18" s="28"/>
      <c r="F18" s="28"/>
      <c r="G18" s="28"/>
      <c r="H18" s="12"/>
      <c r="I18" s="12"/>
      <c r="J18" s="12"/>
      <c r="K18" s="12"/>
      <c r="L18" s="12"/>
      <c r="M18" s="12"/>
    </row>
    <row r="19" spans="1:13" ht="62.25" customHeight="1">
      <c r="A19" s="4"/>
      <c r="B19" s="73" t="s">
        <v>192</v>
      </c>
      <c r="C19" s="39" t="s">
        <v>193</v>
      </c>
      <c r="D19" s="7"/>
      <c r="E19" s="28"/>
      <c r="F19" s="28"/>
      <c r="G19" s="28"/>
      <c r="H19" s="12"/>
      <c r="I19" s="12"/>
      <c r="J19" s="12"/>
      <c r="K19" s="12"/>
      <c r="L19" s="12"/>
      <c r="M19" s="12"/>
    </row>
    <row r="20" spans="1:13" ht="42" customHeight="1">
      <c r="A20" s="4"/>
      <c r="B20" s="73" t="s">
        <v>194</v>
      </c>
      <c r="C20" s="39" t="s">
        <v>195</v>
      </c>
      <c r="D20" s="7"/>
      <c r="E20" s="28"/>
      <c r="F20" s="28"/>
      <c r="G20" s="28"/>
      <c r="H20" s="12"/>
      <c r="I20" s="12"/>
      <c r="J20" s="12"/>
      <c r="K20" s="12"/>
      <c r="L20" s="12"/>
      <c r="M20" s="12"/>
    </row>
    <row r="21" spans="1:13" ht="42" customHeight="1">
      <c r="A21" s="4"/>
      <c r="B21" s="73" t="s">
        <v>196</v>
      </c>
      <c r="C21" s="39" t="s">
        <v>197</v>
      </c>
      <c r="D21" s="7"/>
      <c r="E21" s="28"/>
      <c r="F21" s="28"/>
      <c r="G21" s="28"/>
      <c r="H21" s="12"/>
      <c r="I21" s="12"/>
      <c r="J21" s="12"/>
      <c r="K21" s="12"/>
      <c r="L21" s="12"/>
      <c r="M21" s="12"/>
    </row>
    <row r="22" spans="1:13" ht="42" customHeight="1">
      <c r="A22" s="4"/>
      <c r="B22" s="73" t="s">
        <v>198</v>
      </c>
      <c r="C22" s="39" t="s">
        <v>199</v>
      </c>
      <c r="D22" s="7"/>
      <c r="E22" s="28"/>
      <c r="F22" s="28"/>
      <c r="G22" s="28"/>
      <c r="H22" s="12"/>
      <c r="I22" s="12"/>
      <c r="J22" s="12"/>
      <c r="K22" s="12"/>
      <c r="L22" s="12"/>
      <c r="M22" s="12"/>
    </row>
    <row r="23" spans="1:13" ht="42" customHeight="1">
      <c r="A23" s="4"/>
      <c r="B23" s="73" t="s">
        <v>200</v>
      </c>
      <c r="C23" s="39" t="s">
        <v>201</v>
      </c>
      <c r="D23" s="7"/>
      <c r="E23" s="28"/>
      <c r="F23" s="28"/>
      <c r="G23" s="28"/>
      <c r="H23" s="12"/>
      <c r="I23" s="12"/>
      <c r="J23" s="12"/>
      <c r="K23" s="12"/>
      <c r="L23" s="12"/>
      <c r="M23" s="12"/>
    </row>
    <row r="24" spans="1:13" ht="42" customHeight="1">
      <c r="A24" s="4"/>
      <c r="B24" s="74" t="s">
        <v>202</v>
      </c>
      <c r="C24" s="40" t="s">
        <v>203</v>
      </c>
      <c r="D24" s="7"/>
      <c r="E24" s="7"/>
      <c r="F24" s="7"/>
      <c r="G24" s="7"/>
      <c r="H24" s="2"/>
      <c r="I24" s="2"/>
      <c r="J24" s="12"/>
      <c r="K24" s="12"/>
      <c r="L24" s="12"/>
      <c r="M24" s="12"/>
    </row>
    <row r="25" spans="1:13" ht="21.95" customHeight="1">
      <c r="A25" s="4"/>
      <c r="B25" s="72" t="s">
        <v>204</v>
      </c>
      <c r="C25" s="72"/>
      <c r="D25" s="72"/>
      <c r="E25" s="72"/>
      <c r="F25" s="72"/>
      <c r="G25" s="72"/>
      <c r="H25" s="2"/>
      <c r="I25" s="2"/>
      <c r="J25" s="12"/>
      <c r="K25" s="12"/>
      <c r="L25" s="12"/>
      <c r="M25" s="12"/>
    </row>
    <row r="26" spans="1:13" ht="32.1" customHeight="1">
      <c r="A26" s="4"/>
      <c r="B26" s="75" t="s">
        <v>205</v>
      </c>
      <c r="C26" s="76" t="s">
        <v>206</v>
      </c>
      <c r="D26" s="76" t="s">
        <v>207</v>
      </c>
      <c r="E26" s="76" t="s">
        <v>208</v>
      </c>
      <c r="F26" s="76" t="s">
        <v>209</v>
      </c>
      <c r="G26" s="77" t="s">
        <v>210</v>
      </c>
      <c r="H26" s="2"/>
      <c r="I26" s="2"/>
      <c r="J26" s="12"/>
      <c r="K26" s="12"/>
      <c r="L26" s="12"/>
      <c r="M26" s="12"/>
    </row>
    <row r="27" spans="1:13" ht="62.1" customHeight="1">
      <c r="A27" s="4"/>
      <c r="B27" s="78" t="s">
        <v>211</v>
      </c>
      <c r="C27" s="79" t="s">
        <v>212</v>
      </c>
      <c r="D27" s="79" t="s">
        <v>213</v>
      </c>
      <c r="E27" s="79" t="s">
        <v>214</v>
      </c>
      <c r="F27" s="79" t="s">
        <v>215</v>
      </c>
      <c r="G27" s="80" t="s">
        <v>216</v>
      </c>
      <c r="H27" s="2"/>
      <c r="I27" s="2"/>
      <c r="J27" s="12"/>
      <c r="K27" s="12"/>
      <c r="L27" s="12"/>
      <c r="M27" s="12"/>
    </row>
    <row r="28" spans="1:13" ht="62.1" customHeight="1">
      <c r="A28" s="4"/>
      <c r="B28" s="81" t="s">
        <v>217</v>
      </c>
      <c r="C28" s="82" t="s">
        <v>218</v>
      </c>
      <c r="D28" s="82" t="s">
        <v>213</v>
      </c>
      <c r="E28" s="82" t="s">
        <v>214</v>
      </c>
      <c r="F28" s="82" t="s">
        <v>219</v>
      </c>
      <c r="G28" s="83" t="s">
        <v>216</v>
      </c>
      <c r="H28" s="2"/>
      <c r="I28" s="2"/>
      <c r="J28" s="12"/>
      <c r="K28" s="12"/>
      <c r="L28" s="12"/>
      <c r="M28" s="12"/>
    </row>
    <row r="29" spans="1:13" ht="62.1" customHeight="1">
      <c r="A29" s="4"/>
      <c r="B29" s="81" t="s">
        <v>220</v>
      </c>
      <c r="C29" s="82" t="s">
        <v>221</v>
      </c>
      <c r="D29" s="82" t="s">
        <v>213</v>
      </c>
      <c r="E29" s="82" t="s">
        <v>214</v>
      </c>
      <c r="F29" s="82" t="s">
        <v>222</v>
      </c>
      <c r="G29" s="83" t="s">
        <v>216</v>
      </c>
      <c r="H29" s="2"/>
      <c r="I29" s="2"/>
      <c r="J29" s="12"/>
      <c r="K29" s="12"/>
      <c r="L29" s="12"/>
      <c r="M29" s="12"/>
    </row>
    <row r="30" spans="1:13" ht="62.1" customHeight="1">
      <c r="A30" s="4"/>
      <c r="B30" s="81" t="s">
        <v>223</v>
      </c>
      <c r="C30" s="82" t="s">
        <v>224</v>
      </c>
      <c r="D30" s="82" t="s">
        <v>213</v>
      </c>
      <c r="E30" s="82" t="s">
        <v>214</v>
      </c>
      <c r="F30" s="82" t="s">
        <v>225</v>
      </c>
      <c r="G30" s="83" t="s">
        <v>226</v>
      </c>
      <c r="H30" s="2"/>
      <c r="I30" s="2"/>
      <c r="J30" s="12"/>
      <c r="K30" s="12"/>
      <c r="L30" s="12"/>
      <c r="M30" s="12"/>
    </row>
    <row r="31" spans="1:13" ht="62.1" customHeight="1">
      <c r="A31" s="4"/>
      <c r="B31" s="81" t="s">
        <v>227</v>
      </c>
      <c r="C31" s="82" t="s">
        <v>228</v>
      </c>
      <c r="D31" s="82" t="s">
        <v>213</v>
      </c>
      <c r="E31" s="82" t="s">
        <v>214</v>
      </c>
      <c r="F31" s="82" t="s">
        <v>229</v>
      </c>
      <c r="G31" s="83" t="s">
        <v>226</v>
      </c>
      <c r="H31" s="2"/>
      <c r="I31" s="2"/>
      <c r="J31" s="12"/>
      <c r="K31" s="12"/>
      <c r="L31" s="12"/>
      <c r="M31" s="12"/>
    </row>
    <row r="32" spans="1:13" ht="62.1" customHeight="1">
      <c r="A32" s="4"/>
      <c r="B32" s="81" t="s">
        <v>230</v>
      </c>
      <c r="C32" s="82" t="s">
        <v>231</v>
      </c>
      <c r="D32" s="82" t="s">
        <v>213</v>
      </c>
      <c r="E32" s="82" t="s">
        <v>214</v>
      </c>
      <c r="F32" s="82" t="s">
        <v>232</v>
      </c>
      <c r="G32" s="83" t="s">
        <v>233</v>
      </c>
      <c r="H32" s="2"/>
      <c r="I32" s="2"/>
      <c r="J32" s="12"/>
      <c r="K32" s="12"/>
      <c r="L32" s="12"/>
      <c r="M32" s="12"/>
    </row>
    <row r="33" spans="1:13" ht="62.1" customHeight="1">
      <c r="A33" s="4"/>
      <c r="B33" s="84" t="s">
        <v>234</v>
      </c>
      <c r="C33" s="84" t="s">
        <v>235</v>
      </c>
      <c r="D33" s="84" t="s">
        <v>213</v>
      </c>
      <c r="E33" s="84" t="s">
        <v>214</v>
      </c>
      <c r="F33" s="84" t="s">
        <v>236</v>
      </c>
      <c r="G33" s="84" t="s">
        <v>226</v>
      </c>
      <c r="H33" s="2"/>
      <c r="I33" s="2"/>
      <c r="J33" s="12"/>
      <c r="K33" s="12"/>
      <c r="L33" s="12"/>
      <c r="M33" s="12"/>
    </row>
    <row r="34" spans="1:13" ht="21.95" customHeight="1">
      <c r="A34" s="4"/>
      <c r="B34" s="184" t="s">
        <v>237</v>
      </c>
      <c r="C34" s="184"/>
      <c r="D34" s="137"/>
      <c r="E34" s="137"/>
      <c r="F34" s="137"/>
      <c r="G34" s="137"/>
      <c r="H34" s="2"/>
      <c r="I34" s="2"/>
      <c r="J34" s="12"/>
      <c r="K34" s="12"/>
      <c r="L34" s="12"/>
      <c r="M34" s="12"/>
    </row>
    <row r="35" spans="1:13" ht="50.1" customHeight="1">
      <c r="A35" s="4"/>
      <c r="B35" s="63" t="s">
        <v>238</v>
      </c>
      <c r="C35" s="38" t="s">
        <v>239</v>
      </c>
      <c r="D35" s="7"/>
      <c r="E35" s="28"/>
      <c r="F35" s="28"/>
      <c r="G35" s="28"/>
      <c r="H35" s="12"/>
      <c r="I35" s="12"/>
      <c r="J35" s="12"/>
      <c r="K35" s="12"/>
      <c r="L35" s="12"/>
      <c r="M35" s="12"/>
    </row>
    <row r="36" spans="1:13" ht="50.1" customHeight="1">
      <c r="A36" s="4"/>
      <c r="B36" s="64" t="s">
        <v>240</v>
      </c>
      <c r="C36" s="39" t="s">
        <v>241</v>
      </c>
      <c r="D36" s="7"/>
      <c r="E36" s="28"/>
      <c r="F36" s="28"/>
      <c r="G36" s="28"/>
      <c r="H36" s="12"/>
      <c r="I36" s="12"/>
      <c r="J36" s="12"/>
      <c r="K36" s="12"/>
      <c r="L36" s="12"/>
      <c r="M36" s="12"/>
    </row>
    <row r="37" spans="1:13" ht="50.1" customHeight="1">
      <c r="A37" s="4"/>
      <c r="B37" s="64" t="s">
        <v>76</v>
      </c>
      <c r="C37" s="39" t="s">
        <v>242</v>
      </c>
      <c r="D37" s="7"/>
      <c r="E37" s="28"/>
      <c r="F37" s="28"/>
      <c r="G37" s="28"/>
      <c r="H37" s="12"/>
      <c r="I37" s="12"/>
      <c r="J37" s="12"/>
      <c r="K37" s="12"/>
      <c r="L37" s="12"/>
      <c r="M37" s="12"/>
    </row>
    <row r="38" spans="1:13" ht="50.1" customHeight="1">
      <c r="A38" s="4"/>
      <c r="B38" s="64" t="s">
        <v>243</v>
      </c>
      <c r="C38" s="39" t="s">
        <v>244</v>
      </c>
      <c r="D38" s="7"/>
      <c r="E38" s="28"/>
      <c r="F38" s="28"/>
      <c r="G38" s="28"/>
      <c r="H38" s="12"/>
      <c r="I38" s="12"/>
      <c r="J38" s="12"/>
      <c r="K38" s="12"/>
      <c r="L38" s="12"/>
      <c r="M38" s="12"/>
    </row>
    <row r="39" spans="1:13" ht="60" customHeight="1">
      <c r="A39" s="4"/>
      <c r="B39" s="65" t="s">
        <v>245</v>
      </c>
      <c r="C39" s="40" t="s">
        <v>246</v>
      </c>
      <c r="D39" s="11"/>
      <c r="E39" s="29"/>
      <c r="F39" s="29"/>
      <c r="G39" s="29"/>
    </row>
    <row r="40" spans="1:13" ht="15">
      <c r="A40" s="4"/>
      <c r="B40" s="11"/>
      <c r="C40" s="11"/>
      <c r="D40" s="11"/>
      <c r="E40" s="29"/>
      <c r="F40" s="29"/>
      <c r="G40" s="29"/>
    </row>
  </sheetData>
  <mergeCells count="7">
    <mergeCell ref="B17:C17"/>
    <mergeCell ref="B34:G34"/>
    <mergeCell ref="B2:C2"/>
    <mergeCell ref="B3:C3"/>
    <mergeCell ref="B4:C4"/>
    <mergeCell ref="B5:C8"/>
    <mergeCell ref="B9: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Dashboard</vt:lpstr>
      <vt:lpstr>Inputs &amp; Guidance</vt:lpstr>
      <vt:lpstr>Impact Model</vt:lpstr>
      <vt:lpstr>Methodology &amp; 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Livingstone</dc:creator>
  <cp:lastModifiedBy>Matthew Livingstone</cp:lastModifiedBy>
  <dcterms:created xsi:type="dcterms:W3CDTF">2026-07-15T22:04:46Z</dcterms:created>
  <dcterms:modified xsi:type="dcterms:W3CDTF">2026-07-15T22:04:46Z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a7ed875-cb67-40d7-9ea6-a804b08b1148_Enabled">
    <vt:lpwstr>true</vt:lpwstr>
  </property>
  <property fmtid="{D5CDD505-2E9C-101B-9397-08002B2CF9AE}" pid="3" name="MSIP_Label_9a7ed875-cb67-40d7-9ea6-a804b08b1148_SetDate">
    <vt:lpwstr>2026-07-15T17:56:00Z</vt:lpwstr>
  </property>
  <property fmtid="{D5CDD505-2E9C-101B-9397-08002B2CF9AE}" pid="4" name="MSIP_Label_9a7ed875-cb67-40d7-9ea6-a804b08b1148_Method">
    <vt:lpwstr>Privileged</vt:lpwstr>
  </property>
  <property fmtid="{D5CDD505-2E9C-101B-9397-08002B2CF9AE}" pid="5" name="MSIP_Label_9a7ed875-cb67-40d7-9ea6-a804b08b1148_Name">
    <vt:lpwstr>9a7ed875-cb67-40d7-9ea6-a804b08b1148</vt:lpwstr>
  </property>
  <property fmtid="{D5CDD505-2E9C-101B-9397-08002B2CF9AE}" pid="6" name="MSIP_Label_9a7ed875-cb67-40d7-9ea6-a804b08b1148_SiteId">
    <vt:lpwstr>473672ba-cd07-4371-a2ae-788b4c61840e</vt:lpwstr>
  </property>
  <property fmtid="{D5CDD505-2E9C-101B-9397-08002B2CF9AE}" pid="7" name="MSIP_Label_9a7ed875-cb67-40d7-9ea6-a804b08b1148_ActionId">
    <vt:lpwstr>b3662d06-be49-4c28-b70f-0a82571e98f3</vt:lpwstr>
  </property>
  <property fmtid="{D5CDD505-2E9C-101B-9397-08002B2CF9AE}" pid="8" name="MSIP_Label_9a7ed875-cb67-40d7-9ea6-a804b08b1148_ContentBits">
    <vt:lpwstr>0</vt:lpwstr>
  </property>
  <property fmtid="{D5CDD505-2E9C-101B-9397-08002B2CF9AE}" pid="9" name="MSIP_Label_9a7ed875-cb67-40d7-9ea6-a804b08b1148_Tag">
    <vt:lpwstr>10, 0, 1, 1</vt:lpwstr>
  </property>
</Properties>
</file>