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atthew.livingstone\Downloads\"/>
    </mc:Choice>
  </mc:AlternateContent>
  <xr:revisionPtr revIDLastSave="0" documentId="8_{A4671A68-2C69-4F10-9097-A4BE3AF499A5}" xr6:coauthVersionLast="47" xr6:coauthVersionMax="47" xr10:uidLastSave="{00000000-0000-0000-0000-000000000000}"/>
  <bookViews>
    <workbookView xWindow="-10755" yWindow="-21720" windowWidth="51840" windowHeight="21120" activeTab="3" xr2:uid="{00000000-000D-0000-FFFF-FFFF00000000}"/>
  </bookViews>
  <sheets>
    <sheet name="Dashboard" sheetId="1" r:id="rId1"/>
    <sheet name="Inputs &amp; Guidance" sheetId="2" r:id="rId2"/>
    <sheet name="Impact Model" sheetId="3" r:id="rId3"/>
    <sheet name="Methodology &amp; Sourc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" l="1"/>
  <c r="F9" i="3" s="1"/>
  <c r="F10" i="3" s="1"/>
  <c r="E8" i="3"/>
  <c r="E9" i="3" s="1"/>
  <c r="E10" i="3" s="1"/>
  <c r="D8" i="3"/>
  <c r="D9" i="3" s="1"/>
  <c r="D10" i="3" s="1"/>
  <c r="F7" i="3"/>
  <c r="F26" i="3" s="1"/>
  <c r="E7" i="3"/>
  <c r="E26" i="3" s="1"/>
  <c r="D7" i="3"/>
  <c r="D26" i="3" s="1"/>
  <c r="F33" i="2"/>
  <c r="E33" i="2"/>
  <c r="D33" i="2"/>
  <c r="F32" i="2"/>
  <c r="E32" i="2"/>
  <c r="D32" i="2"/>
  <c r="I4" i="2"/>
  <c r="B5" i="1"/>
  <c r="F24" i="3" l="1"/>
  <c r="E24" i="3"/>
  <c r="D24" i="3"/>
  <c r="D20" i="3"/>
  <c r="D11" i="3"/>
  <c r="K8" i="1"/>
  <c r="E11" i="3"/>
  <c r="E20" i="3"/>
  <c r="C18" i="1" s="1"/>
  <c r="F20" i="3"/>
  <c r="F11" i="3"/>
  <c r="F30" i="3" l="1"/>
  <c r="E31" i="1" s="1"/>
  <c r="F18" i="3"/>
  <c r="F13" i="3"/>
  <c r="F17" i="3"/>
  <c r="F12" i="3"/>
  <c r="F14" i="3" s="1"/>
  <c r="F16" i="3"/>
  <c r="F19" i="3"/>
  <c r="E29" i="1"/>
  <c r="E30" i="3"/>
  <c r="D31" i="1" s="1"/>
  <c r="E18" i="3"/>
  <c r="E13" i="3"/>
  <c r="E14" i="3" s="1"/>
  <c r="E17" i="3"/>
  <c r="C15" i="1" s="1"/>
  <c r="E12" i="3"/>
  <c r="E16" i="3"/>
  <c r="D29" i="1"/>
  <c r="H8" i="1"/>
  <c r="E19" i="3"/>
  <c r="C17" i="1" s="1"/>
  <c r="C29" i="1"/>
  <c r="D30" i="3"/>
  <c r="C31" i="1" s="1"/>
  <c r="D18" i="3"/>
  <c r="D13" i="3"/>
  <c r="D17" i="3"/>
  <c r="D12" i="3"/>
  <c r="D14" i="3" s="1"/>
  <c r="D16" i="3"/>
  <c r="D19" i="3"/>
  <c r="D22" i="3" l="1"/>
  <c r="E22" i="3"/>
  <c r="C16" i="1"/>
  <c r="F21" i="3"/>
  <c r="C14" i="1"/>
  <c r="E21" i="3"/>
  <c r="D21" i="3"/>
  <c r="F22" i="3"/>
  <c r="F23" i="3" l="1"/>
  <c r="F25" i="3" s="1"/>
  <c r="D23" i="3"/>
  <c r="D25" i="3" s="1"/>
  <c r="E23" i="3"/>
  <c r="E25" i="3" s="1"/>
  <c r="C19" i="1"/>
  <c r="C20" i="1" l="1"/>
  <c r="D30" i="1"/>
  <c r="E27" i="3"/>
  <c r="E29" i="3" s="1"/>
  <c r="E28" i="3"/>
  <c r="D27" i="3"/>
  <c r="D29" i="3" s="1"/>
  <c r="C28" i="1" s="1"/>
  <c r="C30" i="1"/>
  <c r="D28" i="3"/>
  <c r="C27" i="1" s="1"/>
  <c r="E30" i="1"/>
  <c r="F27" i="3"/>
  <c r="F29" i="3" s="1"/>
  <c r="E28" i="1" s="1"/>
  <c r="F28" i="3"/>
  <c r="E27" i="1" s="1"/>
  <c r="D28" i="1" l="1"/>
  <c r="E8" i="1"/>
  <c r="D27" i="1"/>
  <c r="B8" i="1"/>
</calcChain>
</file>

<file path=xl/sharedStrings.xml><?xml version="1.0" encoding="utf-8"?>
<sst xmlns="http://schemas.openxmlformats.org/spreadsheetml/2006/main" count="336" uniqueCount="266">
  <si>
    <t>Dollars of Good: Social Impact Return</t>
  </si>
  <si>
    <t>A decision-support model for estimating monetized social value from a donation to voluntary contraceptive access.</t>
  </si>
  <si>
    <t>Gross social benefit per $1</t>
  </si>
  <si>
    <t>Net social value per $1</t>
  </si>
  <si>
    <t>Unintended pregnancies averted</t>
  </si>
  <si>
    <t>Additional contraceptive-years</t>
  </si>
  <si>
    <t>Selected-scenario benefit composition</t>
  </si>
  <si>
    <t>Benefit category</t>
  </si>
  <si>
    <t>Estimated value</t>
  </si>
  <si>
    <t>Healthcare savings</t>
  </si>
  <si>
    <t>Maternal health</t>
  </si>
  <si>
    <t>Education &amp; earnings</t>
  </si>
  <si>
    <t>Existing-child / birth spacing</t>
  </si>
  <si>
    <t>Autonomy &amp; well-being</t>
  </si>
  <si>
    <t>Adjustments &amp; harms</t>
  </si>
  <si>
    <t>Total monetized social benefit</t>
  </si>
  <si>
    <t>Scenario comparison</t>
  </si>
  <si>
    <t>Metric</t>
  </si>
  <si>
    <t>Conservative</t>
  </si>
  <si>
    <t>Base</t>
  </si>
  <si>
    <t>Optimistic</t>
  </si>
  <si>
    <t>Why it matters</t>
  </si>
  <si>
    <t>Headline 'dollars of good' estimate before subtracting the donation.</t>
  </si>
  <si>
    <t>Value created after treating the donated funds as a social resource cost.</t>
  </si>
  <si>
    <t>Physical impact estimate before monetization.</t>
  </si>
  <si>
    <t>Combined present value of included benefits after adjustments.</t>
  </si>
  <si>
    <t>Social Impact Return Model</t>
  </si>
  <si>
    <t>Illustrative case study: voluntary contraceptive access. Blue-font cells are editable inputs; formulas and outputs update automatically.</t>
  </si>
  <si>
    <t>Selected scenario</t>
  </si>
  <si>
    <t>Minimum ethical safeguards satisfied?</t>
  </si>
  <si>
    <t>Yes</t>
  </si>
  <si>
    <t>Model status</t>
  </si>
  <si>
    <t>How to use: choose a scenario, replace the illustrative assumptions with country- and charity-specific evidence, and read the guided definitions before editing. Keep all monetary inputs in the same currency.</t>
  </si>
  <si>
    <t>Section</t>
  </si>
  <si>
    <t>Input</t>
  </si>
  <si>
    <t>Units</t>
  </si>
  <si>
    <t>How to think about / calculate it</t>
  </si>
  <si>
    <t>Source or note</t>
  </si>
  <si>
    <t>Program delivery</t>
  </si>
  <si>
    <t>Donation amount</t>
  </si>
  <si>
    <t>$</t>
  </si>
  <si>
    <t>The amount the business is considering donating. Keep it constant across scenarios unless comparing donation sizes.</t>
  </si>
  <si>
    <t>Illustrative case amount.</t>
  </si>
  <si>
    <t>Voluntary uptake rate</t>
  </si>
  <si>
    <t>%</t>
  </si>
  <si>
    <t>Share of people reached who freely choose to begin using the offered method or method mix.</t>
  </si>
  <si>
    <t>Program records or evaluation evidence.</t>
  </si>
  <si>
    <t>Continuation / effective-use rate</t>
  </si>
  <si>
    <t>Share of users who continue long enough, or use correctly enough, to receive the expected protection.</t>
  </si>
  <si>
    <t>Method- and setting-specific continuation data.</t>
  </si>
  <si>
    <t>Program additionality</t>
  </si>
  <si>
    <t>Share of effective use that would not have occurred without this donation. Reduce for substitution from other providers or existing government supply.</t>
  </si>
  <si>
    <t>Counterfactual evaluation; usually one of the most important assumptions.</t>
  </si>
  <si>
    <t>Delivery success rate</t>
  </si>
  <si>
    <t>Adjustment for stockouts, missed appointments, expired products, incomplete counselling and other delivery failures.</t>
  </si>
  <si>
    <t>Program monitoring and supply-chain data.</t>
  </si>
  <si>
    <t>Effective contraceptive-years per continuing user</t>
  </si>
  <si>
    <t>years</t>
  </si>
  <si>
    <t>Expected years of protection actually delivered per continuing user. Use a method-weighted average for mixed programs.</t>
  </si>
  <si>
    <t>Method mix, duration, continuation and replacement assumptions.</t>
  </si>
  <si>
    <t>Impact conversion</t>
  </si>
  <si>
    <t>Unintended pregnancies averted per additional contraceptive-year</t>
  </si>
  <si>
    <t>pregnancies / year</t>
  </si>
  <si>
    <t>Incremental pregnancy risk without the program minus risk with the program. Use the true counterfactual, not automatically 'no contraception.'</t>
  </si>
  <si>
    <t>Base case anchored to GiveWell; conservative case is close to published CYP ratios.</t>
  </si>
  <si>
    <t>Share ending in an unplanned birth</t>
  </si>
  <si>
    <t>Used only to show the outcome mix. Replace with country-specific data where available.</t>
  </si>
  <si>
    <t>Guttmacher Adding It Up 2024 LMIC aggregate.</t>
  </si>
  <si>
    <t>Share ending in an induced abortion</t>
  </si>
  <si>
    <t>Used only to show the outcome mix. The residual is miscarriage or stillbirth.</t>
  </si>
  <si>
    <t>Benefit valuation</t>
  </si>
  <si>
    <t>Healthcare savings per unintended pregnancy averted</t>
  </si>
  <si>
    <t>$ PV / pregnancy</t>
  </si>
  <si>
    <t>Expected avoided household and health-system costs across prenatal care, delivery, complications, abortion care and other outcomes. Use incremental costs only.</t>
  </si>
  <si>
    <t>Illustrative placeholder; replace with local costing evidence.</t>
  </si>
  <si>
    <t>Maternal and reproductive-health DALYs averted per pregnancy</t>
  </si>
  <si>
    <t>DALYs / pregnancy</t>
  </si>
  <si>
    <t>Expected healthy life-years gained from lower maternal mortality and morbidity per unintended pregnancy averted.</t>
  </si>
  <si>
    <t>Illustrative placeholder; derive from local outcome risks and disability weights.</t>
  </si>
  <si>
    <t>Monetary value per DALY</t>
  </si>
  <si>
    <t>$ / DALY</t>
  </si>
  <si>
    <t>A transparent social value assigned to one healthy life-year. This is a normative assumption, so always show a range.</t>
  </si>
  <si>
    <t>Decision-maker assumption; do not present as an objective market price.</t>
  </si>
  <si>
    <t>Education and lifetime earnings benefit per pregnancy averted</t>
  </si>
  <si>
    <t>Present value of attributable gains from additional schooling, labour-force participation or earnings. Avoid counting income and consumption twice.</t>
  </si>
  <si>
    <t>Illustrative placeholder; replace with causal evidence.</t>
  </si>
  <si>
    <t>Existing-child and birth-spacing benefit per pregnancy averted</t>
  </si>
  <si>
    <t>Present value of benefits to existing or later-born children from improved birth spacing and household resources. Do not treat non-birth itself as a benefit.</t>
  </si>
  <si>
    <t>Autonomy and well-being benefit per additional contraceptive-year</t>
  </si>
  <si>
    <t>$ PV / year</t>
  </si>
  <si>
    <t>Value of increased ability to choose whether and when to become pregnant, net of effects already counted elsewhere.</t>
  </si>
  <si>
    <t>Illustrative placeholder; use willingness-to-pay or well-being evidence where defensible.</t>
  </si>
  <si>
    <t>Risk adjustments</t>
  </si>
  <si>
    <t>$ / user</t>
  </si>
  <si>
    <t>Program and clinical evidence.</t>
  </si>
  <si>
    <t>Overlap / double-counting haircut</t>
  </si>
  <si>
    <t>Reduction applied to education, child and autonomy benefits where they may describe overlapping welfare gains.</t>
  </si>
  <si>
    <t>Analyst judgement; disclose clearly.</t>
  </si>
  <si>
    <t>Implementation and evidence-risk haircut</t>
  </si>
  <si>
    <t>Broad reduction for weak external validity, measurement error, implementation slippage and model uncertainty not captured elsewhere.</t>
  </si>
  <si>
    <t>Analyst judgement; use more conservative values with weaker evidence.</t>
  </si>
  <si>
    <t>Optional benefit modules</t>
  </si>
  <si>
    <t>Include education and earnings module?</t>
  </si>
  <si>
    <t>Turn off when evidence is weak, not causal, or already captured through another valuation.</t>
  </si>
  <si>
    <t>Include existing-child and birth-spacing module?</t>
  </si>
  <si>
    <t>Turn off when there is no credible evidence of benefits to existing or later-born children.</t>
  </si>
  <si>
    <t>Include autonomy and well-being module?</t>
  </si>
  <si>
    <t>Turn off to show a narrower result based only on health and directly measurable economic effects.</t>
  </si>
  <si>
    <t>Impact Model</t>
  </si>
  <si>
    <t>Calculation engine. Each column calculates a complete scenario using the assumptions entered on the Inputs &amp; Guidance sheet.</t>
  </si>
  <si>
    <t>Plain-language logic</t>
  </si>
  <si>
    <t>IMPACT FUNNEL</t>
  </si>
  <si>
    <t>Donation</t>
  </si>
  <si>
    <t>Starting donation under analysis.</t>
  </si>
  <si>
    <t>People served</t>
  </si>
  <si>
    <t>People</t>
  </si>
  <si>
    <t>Effective users</t>
  </si>
  <si>
    <t>People served × uptake × continuation × delivery success.</t>
  </si>
  <si>
    <t>Effective users × years of protection × additionality.</t>
  </si>
  <si>
    <t>Years</t>
  </si>
  <si>
    <t>Additional contraceptive-years × pregnancies averted per year.</t>
  </si>
  <si>
    <t>Pregnancies</t>
  </si>
  <si>
    <t>Unplanned births averted / postponed</t>
  </si>
  <si>
    <t>Pregnancies averted × share otherwise ending in unplanned birth.</t>
  </si>
  <si>
    <t>Births</t>
  </si>
  <si>
    <t>Induced abortions averted</t>
  </si>
  <si>
    <t>Pregnancies averted × share otherwise ending in abortion.</t>
  </si>
  <si>
    <t>Abortions</t>
  </si>
  <si>
    <t>Other pregnancy outcomes averted</t>
  </si>
  <si>
    <t>Residual: miscarriage or stillbirth.</t>
  </si>
  <si>
    <t>Outcomes</t>
  </si>
  <si>
    <t>MONETIZED BENEFITS</t>
  </si>
  <si>
    <t>Healthcare resource savings</t>
  </si>
  <si>
    <t>Pregnancies averted × healthcare savings per pregnancy.</t>
  </si>
  <si>
    <t>Maternal and reproductive-health benefit</t>
  </si>
  <si>
    <t>Pregnancies averted × DALYs per pregnancy × value per DALY.</t>
  </si>
  <si>
    <t>Education and earnings benefit</t>
  </si>
  <si>
    <t>Pregnancies averted × present-value benefit; optional module.</t>
  </si>
  <si>
    <t>Existing-child and birth-spacing benefit</t>
  </si>
  <si>
    <t>Autonomy and well-being benefit</t>
  </si>
  <si>
    <t>Additional contraceptive-years × value per year; optional module.</t>
  </si>
  <si>
    <t>Gross benefit before adjustments</t>
  </si>
  <si>
    <t>Sum of all included benefit categories.</t>
  </si>
  <si>
    <t>Less: overlap / double-counting adjustment</t>
  </si>
  <si>
    <t>Haircut applied to economic, child and autonomy benefits.</t>
  </si>
  <si>
    <t>Less: implementation and evidence-risk adjustment</t>
  </si>
  <si>
    <t>Risk haircut applied after the overlap adjustment.</t>
  </si>
  <si>
    <t>Less: adverse effects and participant burdens</t>
  </si>
  <si>
    <t>Gross benefits less all adjustments and harms.</t>
  </si>
  <si>
    <t>Less: donation cost</t>
  </si>
  <si>
    <t>The donated funds are a real social resource cost.</t>
  </si>
  <si>
    <t>Net social value</t>
  </si>
  <si>
    <t>Total monetized benefit less the donation.</t>
  </si>
  <si>
    <t>Gross social benefit per $1 donated</t>
  </si>
  <si>
    <t>Total monetized benefit ÷ donation.</t>
  </si>
  <si>
    <t>x</t>
  </si>
  <si>
    <t>Net social value per $1 donated</t>
  </si>
  <si>
    <t>Net social value ÷ donation.</t>
  </si>
  <si>
    <t>$ / pregnancy</t>
  </si>
  <si>
    <t>Methodology &amp; Sources</t>
  </si>
  <si>
    <t>Use this sheet to understand the model, document replacements for illustrative inputs and maintain a transparent evidence trail.</t>
  </si>
  <si>
    <t>What the model measures</t>
  </si>
  <si>
    <t>The model estimates the present value of health, economic, household and autonomy benefits attributable to a donation, then divides those benefits by the donation amount. It does not assign a negative value to a child who is not born. Instead, it values changes in maternal health, health-system costs, education, earnings, birth spacing, household resources and reproductive autonomy.</t>
  </si>
  <si>
    <t>Core equations</t>
  </si>
  <si>
    <t>People served × uptake × continuation × delivery success</t>
  </si>
  <si>
    <t>Effective users × effective years × additionality</t>
  </si>
  <si>
    <t>Pregnancies averted</t>
  </si>
  <si>
    <t>Additional contraceptive-years × incremental pregnancies averted per year</t>
  </si>
  <si>
    <t>Total social benefit</t>
  </si>
  <si>
    <t>Included benefits − overlap adjustment − evidence-risk adjustment − participant burdens</t>
  </si>
  <si>
    <t>Gross benefit per $1</t>
  </si>
  <si>
    <t>Total social benefit ÷ donation</t>
  </si>
  <si>
    <t>(Total social benefit − donation) ÷ donation</t>
  </si>
  <si>
    <t>Minimum ethical and analytical safeguards</t>
  </si>
  <si>
    <t>1</t>
  </si>
  <si>
    <t>Participation must be voluntary and based on informed consent.</t>
  </si>
  <si>
    <t>2</t>
  </si>
  <si>
    <t>The program must offer medically appropriate methods, counselling and referral pathways.</t>
  </si>
  <si>
    <t>3</t>
  </si>
  <si>
    <t>No result should count non-birth itself as a social benefit.</t>
  </si>
  <si>
    <t>4</t>
  </si>
  <si>
    <t>Additionality must reflect what would happen without the donation.</t>
  </si>
  <si>
    <t>5</t>
  </si>
  <si>
    <t>Benefits must be incremental, present-valued and checked for double counting.</t>
  </si>
  <si>
    <t>6</t>
  </si>
  <si>
    <t>Country averages should not replace organization-specific delivery evidence when that evidence exists.</t>
  </si>
  <si>
    <t>7</t>
  </si>
  <si>
    <t>A single point estimate should never be presented without conservative and optimistic cases.</t>
  </si>
  <si>
    <t>Source register</t>
  </si>
  <si>
    <t>Organization / source</t>
  </si>
  <si>
    <t>What it supports</t>
  </si>
  <si>
    <t>URL</t>
  </si>
  <si>
    <t>Published / current</t>
  </si>
  <si>
    <t>Use in this workbook</t>
  </si>
  <si>
    <t>Replacement priority</t>
  </si>
  <si>
    <t>WHO — Family planning / contraception methods</t>
  </si>
  <si>
    <t>Benefits, rights-based framing and the need for informed reproductive choice.</t>
  </si>
  <si>
    <t>https://www.who.int/news-room/fact-sheets/detail/family-planning-contraception</t>
  </si>
  <si>
    <t>3 July 2025</t>
  </si>
  <si>
    <t>Ethical framing and general methodology.</t>
  </si>
  <si>
    <t>Keep as general source.</t>
  </si>
  <si>
    <t>Guttmacher Institute — Adding It Up 2024</t>
  </si>
  <si>
    <t>LMIC unintended-pregnancy outcome distribution and broad cost/benefit evidence.</t>
  </si>
  <si>
    <t>https://www.guttmacher.org/report/adding-it-up-2024-investing-sexual-and-reproductive-health-low-and-middle-income-countries</t>
  </si>
  <si>
    <t>29% unplanned-birth and 59% abortion shares in illustrative inputs.</t>
  </si>
  <si>
    <t>Replace with country-specific distribution where available.</t>
  </si>
  <si>
    <t>Guttmacher Institute — CYP methodology</t>
  </si>
  <si>
    <t>Method for translating couple-years of protection into unintended pregnancies averted.</t>
  </si>
  <si>
    <t>https://www.guttmacher.org/estimating-unintended-pregnancies-averted-couple-years-protection-cyp</t>
  </si>
  <si>
    <t>2011 methodology memo</t>
  </si>
  <si>
    <t>Supports conservative pregnancy-averted conversion range.</t>
  </si>
  <si>
    <t>Replace with current method- and country-specific counterfactual evidence.</t>
  </si>
  <si>
    <t>GiveWell — Valuing contraception</t>
  </si>
  <si>
    <t>Framework for health, income, household-resource and subjective-well-being effects.</t>
  </si>
  <si>
    <t>https://www.givewell.org/how-we-work/our-criteria/cost-effectiveness/valuing-contraception</t>
  </si>
  <si>
    <t>Current web methodology</t>
  </si>
  <si>
    <t>GiveWell — Contraceptive supply in Nigeria</t>
  </si>
  <si>
    <t>Illustrates commodity cost versus the higher cost of generating counterfactually additional contraceptive use.</t>
  </si>
  <si>
    <t>https://www.givewell.org/research/grants/Access-to-Medicines-Initiative-Contraceptive-Supply-in-Nigeria-June-2025</t>
  </si>
  <si>
    <t>June 2025</t>
  </si>
  <si>
    <t>WHO — Family Planning: A Global Handbook for Providers</t>
  </si>
  <si>
    <t>Method effectiveness, counselling, side effects and clinical delivery considerations.</t>
  </si>
  <si>
    <t>https://cdn.who.int/media/docs/default-source/reproductive-health/contraception-family-planning/family-planning-a-global-handbook-for-providers-2022.pdf</t>
  </si>
  <si>
    <t>2022</t>
  </si>
  <si>
    <t>Supports method-specific clinical and continuation assumptions.</t>
  </si>
  <si>
    <t>Use current local clinical guidance where required.</t>
  </si>
  <si>
    <t>Important limitations</t>
  </si>
  <si>
    <t>Illustrative defaults</t>
  </si>
  <si>
    <t>Most monetary valuation inputs are placeholders, not estimates for a named country or charity.</t>
  </si>
  <si>
    <t>Causality</t>
  </si>
  <si>
    <t>Observed program users are not automatically attributable to the donation; additionality should come from credible counterfactual evidence.</t>
  </si>
  <si>
    <t>Transferability</t>
  </si>
  <si>
    <t>Maternal risks, service costs, pregnancy outcomes and labour-market effects vary materially by country and population.</t>
  </si>
  <si>
    <t>Valuation ethics</t>
  </si>
  <si>
    <t>The value per DALY and autonomy benefit are judgement-based. Show results with and without controversial modules.</t>
  </si>
  <si>
    <t>Precision</t>
  </si>
  <si>
    <t>Do not report unnecessary decimal places or imply that the model produces an objective, universal social value.</t>
  </si>
  <si>
    <t>Donation per pregnancy averted</t>
  </si>
  <si>
    <t>Donation amount required per estimated unintended pregnancy averted; useful for external benchmarking.</t>
  </si>
  <si>
    <t>Expected people served</t>
  </si>
  <si>
    <t>Enter the number of people the charity expects the funded program to reach and offer a meaningful service to. This can include counselling or a genuine method offer, even when the person does not ultimately adopt a method. The donation amount and people-served estimate must refer to the same funding proposal.</t>
  </si>
  <si>
    <t>Charity proposal, program budget, monitoring records, or a documented reach estimate.</t>
  </si>
  <si>
    <t>Adverse effects and participant burdens per method initiator</t>
  </si>
  <si>
    <t>Expected treatment costs, travel time, discomfort, side effects and other burdens for each person who begins a method. Include expected burdens among people who later discontinue.</t>
  </si>
  <si>
    <t>CALCULATED DIAGNOSTICS &amp; INPUT CHECKS</t>
  </si>
  <si>
    <t>Implied cost per person served</t>
  </si>
  <si>
    <t>$ / person</t>
  </si>
  <si>
    <t>Calculated as donation amount divided by expected people served. Use this to test whether the charity's reach claim is consistent with its budget and comparable programs.</t>
  </si>
  <si>
    <t>Calculated diagnostic; compare with the charity's budget and external unit-cost benchmarks.</t>
  </si>
  <si>
    <t>Pregnancy-outcome share check</t>
  </si>
  <si>
    <t>Status</t>
  </si>
  <si>
    <t>The unplanned-birth share plus induced-abortion share cannot exceed 100%. The remaining share is treated as miscarriage or stillbirth.</t>
  </si>
  <si>
    <t>Calculated validation check.</t>
  </si>
  <si>
    <t>Direct input from the charity's expected funded-program reach.</t>
  </si>
  <si>
    <t>Estimated method initiators × expected burden per initiator.</t>
  </si>
  <si>
    <t>Donation per unintended pregnancy averted</t>
  </si>
  <si>
    <t>Donation amount ÷ unintended pregnancies averted.</t>
  </si>
  <si>
    <t>Direct input from the charity's funded-program reach estimate; implied cost per person = donation ÷ people served</t>
  </si>
  <si>
    <t>2024 estimates; report published 30 Oct 2025</t>
  </si>
  <si>
    <t>Supports benefit categories and the need to treat uncertainty explicitly.</t>
  </si>
  <si>
    <t>Use as a methodological benchmark, not a universal value.</t>
  </si>
  <si>
    <t>Supports benchmarking the implied cost of generating counterfactually additional contraceptive use.</t>
  </si>
  <si>
    <t>Replace with the target charity's reach estimate, program budget and full delivery costs.</t>
  </si>
  <si>
    <t>Reach definition</t>
  </si>
  <si>
    <t>People served should represent people receiving a meaningful service offer or counselling, not general awareness impressions. The donation and reach estimate must describe the same proposal; use implied cost per person to identify inconsistencies.</t>
  </si>
  <si>
    <r>
      <rPr>
        <b/>
        <sz val="12"/>
        <color rgb="FF025564"/>
        <rFont val="Lato"/>
      </rPr>
      <t>Interpretation</t>
    </r>
    <r>
      <rPr>
        <sz val="12"/>
        <color rgb="FF025564"/>
        <rFont val="Lato"/>
      </rPr>
      <t xml:space="preserve">
The result is a monetized estimate, not a literal financial return. A strong decision should remain attractive under conservative assumptions.
Replace illustrative inputs with evidence for the specific program and charity. Confirm that the donation and people-served estimate describe the same proposal, then review the implied cost per person on Inputs &amp; Guidance.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</si>
</sst>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$#,##0;[Red]\(\$#,##0\);\-"/>
    <numFmt numFmtId="165" formatCode="0.0%;[Red]\(0.0%\);\-"/>
    <numFmt numFmtId="166" formatCode="0.000"/>
    <numFmt numFmtId="167" formatCode="0.0"/>
    <numFmt numFmtId="168" formatCode="#,##0.0;[Red]\(#,##0.0\);\-"/>
    <numFmt numFmtId="169" formatCode="0.0\x;[Red]\(0.0\x\);\-"/>
    <numFmt numFmtId="170" formatCode="#,##0;[Red]\(#,##0\);\-"/>
    <numFmt numFmtId="171" formatCode="\$#,##0.00;[Red]\(\$#,##0.00\);\-"/>
  </numFmts>
  <fonts count="31">
    <font>
      <sz val="11"/>
      <name val="Carlito"/>
    </font>
    <font>
      <sz val="11"/>
      <color rgb="FF26312F"/>
      <name val="Aptos"/>
      <family val="2"/>
    </font>
    <font>
      <sz val="11"/>
      <name val="Lato"/>
    </font>
    <font>
      <sz val="11"/>
      <color rgb="FF26312F"/>
      <name val="Lato"/>
    </font>
    <font>
      <b/>
      <sz val="11"/>
      <color rgb="FFFFFFFF"/>
      <name val="Lato"/>
    </font>
    <font>
      <b/>
      <sz val="24"/>
      <color rgb="FFFFFFFF"/>
      <name val="Lato"/>
    </font>
    <font>
      <i/>
      <sz val="10"/>
      <color rgb="FF5F6663"/>
      <name val="Lato"/>
    </font>
    <font>
      <b/>
      <sz val="11"/>
      <color rgb="FF0000FF"/>
      <name val="Lato"/>
    </font>
    <font>
      <b/>
      <sz val="11"/>
      <color theme="0"/>
      <name val="Lato"/>
    </font>
    <font>
      <i/>
      <sz val="10"/>
      <color theme="0"/>
      <name val="Lato"/>
    </font>
    <font>
      <sz val="10"/>
      <color theme="0"/>
      <name val="Lato"/>
    </font>
    <font>
      <b/>
      <sz val="14"/>
      <color rgb="FFFFFFFF"/>
      <name val="Lato"/>
    </font>
    <font>
      <sz val="12"/>
      <color rgb="FF0000FF"/>
      <name val="Lato"/>
    </font>
    <font>
      <i/>
      <sz val="10"/>
      <color rgb="FF025564"/>
      <name val="Lato"/>
    </font>
    <font>
      <sz val="11"/>
      <color rgb="FF025564"/>
      <name val="Lato"/>
    </font>
    <font>
      <b/>
      <sz val="11"/>
      <color rgb="FF025564"/>
      <name val="Lato"/>
    </font>
    <font>
      <sz val="9"/>
      <color rgb="FF025564"/>
      <name val="Lato"/>
    </font>
    <font>
      <b/>
      <sz val="20"/>
      <color theme="0"/>
      <name val="Lato"/>
    </font>
    <font>
      <sz val="11"/>
      <color theme="0"/>
      <name val="Lato"/>
    </font>
    <font>
      <sz val="11"/>
      <color theme="0"/>
      <name val="Carlito"/>
    </font>
    <font>
      <b/>
      <sz val="10"/>
      <color rgb="FF025564"/>
      <name val="Lato"/>
    </font>
    <font>
      <b/>
      <sz val="14"/>
      <color theme="0"/>
      <name val="Lato"/>
    </font>
    <font>
      <b/>
      <sz val="28"/>
      <color rgb="FFFFFFFF"/>
      <name val="Lato"/>
    </font>
    <font>
      <b/>
      <sz val="36"/>
      <color rgb="FFFFFFFF"/>
      <name val="Lato"/>
    </font>
    <font>
      <b/>
      <sz val="12"/>
      <color theme="0"/>
      <name val="Lato"/>
    </font>
    <font>
      <b/>
      <sz val="12"/>
      <color rgb="FF0000FF"/>
      <name val="Lato"/>
    </font>
    <font>
      <sz val="12"/>
      <color rgb="FF025564"/>
      <name val="Lato"/>
    </font>
    <font>
      <b/>
      <sz val="12"/>
      <color rgb="FF025564"/>
      <name val="Lato"/>
    </font>
    <font>
      <b/>
      <sz val="22"/>
      <color rgb="FF025564"/>
      <name val="Lato"/>
    </font>
    <font>
      <b/>
      <sz val="24"/>
      <color theme="0"/>
      <name val="Lato"/>
    </font>
    <font>
      <sz val="11"/>
      <color rgb="FF008000"/>
      <name val="Lato"/>
    </font>
  </fonts>
  <fills count="16">
    <fill>
      <patternFill patternType="none"/>
    </fill>
    <fill>
      <patternFill patternType="gray125"/>
    </fill>
    <fill>
      <patternFill patternType="solid">
        <fgColor rgb="FF025564"/>
      </patternFill>
    </fill>
    <fill>
      <patternFill patternType="solid">
        <fgColor rgb="FFFAF4E6"/>
      </patternFill>
    </fill>
    <fill>
      <patternFill patternType="solid">
        <fgColor rgb="FFD9EDEE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DCE6F1"/>
      </patternFill>
    </fill>
    <fill>
      <patternFill patternType="solid">
        <fgColor rgb="FF025564"/>
      </patternFill>
    </fill>
    <fill>
      <patternFill patternType="solid">
        <fgColor rgb="FFFAF4E6"/>
      </patternFill>
    </fill>
    <fill>
      <patternFill patternType="solid">
        <fgColor rgb="FFFFF2CC"/>
      </patternFill>
    </fill>
    <fill>
      <patternFill patternType="solid">
        <fgColor rgb="FF037183"/>
      </patternFill>
    </fill>
    <fill>
      <patternFill patternType="solid">
        <fgColor rgb="FFFAF4E6"/>
      </patternFill>
    </fill>
    <fill>
      <patternFill patternType="solid">
        <fgColor rgb="FF025564"/>
      </patternFill>
    </fill>
    <fill>
      <patternFill patternType="solid">
        <fgColor rgb="FF037183"/>
        <bgColor indexed="64"/>
      </patternFill>
    </fill>
    <fill>
      <patternFill patternType="solid">
        <fgColor rgb="FFFFF2CC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 style="medium">
        <color rgb="FF025564"/>
      </top>
      <bottom/>
      <diagonal/>
    </border>
    <border>
      <left/>
      <right/>
      <top style="medium">
        <color rgb="FF025564"/>
      </top>
      <bottom/>
      <diagonal/>
    </border>
    <border>
      <left/>
      <right style="thin">
        <color rgb="FFB7B7B7"/>
      </right>
      <top style="medium">
        <color rgb="FF025564"/>
      </top>
      <bottom/>
      <diagonal/>
    </border>
    <border>
      <left style="thin">
        <color rgb="FF025564"/>
      </left>
      <right/>
      <top style="thin">
        <color rgb="FF025564"/>
      </top>
      <bottom style="thin">
        <color rgb="FF025564"/>
      </bottom>
      <diagonal/>
    </border>
    <border>
      <left/>
      <right/>
      <top style="thin">
        <color rgb="FF025564"/>
      </top>
      <bottom style="thin">
        <color rgb="FF025564"/>
      </bottom>
      <diagonal/>
    </border>
    <border>
      <left/>
      <right style="thin">
        <color rgb="FF025564"/>
      </right>
      <top style="thin">
        <color rgb="FF025564"/>
      </top>
      <bottom style="thin">
        <color rgb="FF025564"/>
      </bottom>
      <diagonal/>
    </border>
    <border>
      <left style="thin">
        <color rgb="FF025564"/>
      </left>
      <right/>
      <top style="thin">
        <color rgb="FF025564"/>
      </top>
      <bottom/>
      <diagonal/>
    </border>
    <border>
      <left/>
      <right/>
      <top style="thin">
        <color rgb="FF025564"/>
      </top>
      <bottom/>
      <diagonal/>
    </border>
    <border>
      <left/>
      <right style="thin">
        <color rgb="FF025564"/>
      </right>
      <top style="thin">
        <color rgb="FF025564"/>
      </top>
      <bottom/>
      <diagonal/>
    </border>
    <border>
      <left style="thin">
        <color rgb="FF025564"/>
      </left>
      <right/>
      <top/>
      <bottom/>
      <diagonal/>
    </border>
    <border>
      <left/>
      <right style="thin">
        <color rgb="FF025564"/>
      </right>
      <top/>
      <bottom/>
      <diagonal/>
    </border>
    <border>
      <left style="thin">
        <color rgb="FF025564"/>
      </left>
      <right/>
      <top/>
      <bottom style="thin">
        <color rgb="FF025564"/>
      </bottom>
      <diagonal/>
    </border>
    <border>
      <left/>
      <right/>
      <top/>
      <bottom style="thin">
        <color rgb="FF025564"/>
      </bottom>
      <diagonal/>
    </border>
    <border>
      <left/>
      <right style="thin">
        <color rgb="FF025564"/>
      </right>
      <top/>
      <bottom style="thin">
        <color rgb="FF0255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3" fillId="0" borderId="0" xfId="0" applyFont="1" applyAlignment="1">
      <alignment vertical="center"/>
    </xf>
    <xf numFmtId="169" fontId="3" fillId="0" borderId="30" xfId="0" applyNumberFormat="1" applyFont="1" applyBorder="1" applyAlignment="1">
      <alignment vertical="center" wrapText="1"/>
    </xf>
    <xf numFmtId="0" fontId="7" fillId="5" borderId="3" xfId="0" applyFont="1" applyFill="1" applyBorder="1" applyAlignment="1">
      <alignment horizontal="center" vertical="center"/>
    </xf>
    <xf numFmtId="164" fontId="12" fillId="5" borderId="30" xfId="0" applyNumberFormat="1" applyFont="1" applyFill="1" applyBorder="1" applyAlignment="1">
      <alignment horizontal="center" vertical="center" wrapText="1"/>
    </xf>
    <xf numFmtId="165" fontId="12" fillId="5" borderId="30" xfId="0" applyNumberFormat="1" applyFont="1" applyFill="1" applyBorder="1" applyAlignment="1">
      <alignment horizontal="center" vertical="center" wrapText="1"/>
    </xf>
    <xf numFmtId="167" fontId="12" fillId="5" borderId="30" xfId="0" applyNumberFormat="1" applyFont="1" applyFill="1" applyBorder="1" applyAlignment="1">
      <alignment horizontal="center" vertical="center" wrapText="1"/>
    </xf>
    <xf numFmtId="2" fontId="12" fillId="5" borderId="30" xfId="0" applyNumberFormat="1" applyFont="1" applyFill="1" applyBorder="1" applyAlignment="1">
      <alignment horizontal="center" vertical="center" wrapText="1"/>
    </xf>
    <xf numFmtId="166" fontId="12" fillId="5" borderId="30" xfId="0" applyNumberFormat="1" applyFont="1" applyFill="1" applyBorder="1" applyAlignment="1">
      <alignment horizontal="center" vertical="center" wrapText="1"/>
    </xf>
    <xf numFmtId="0" fontId="2" fillId="8" borderId="0" xfId="0" applyFont="1" applyFill="1"/>
    <xf numFmtId="0" fontId="6" fillId="8" borderId="0" xfId="0" applyFont="1" applyFill="1" applyAlignment="1">
      <alignment vertical="center" wrapText="1"/>
    </xf>
    <xf numFmtId="0" fontId="0" fillId="8" borderId="0" xfId="0" applyFill="1"/>
    <xf numFmtId="0" fontId="17" fillId="8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8" borderId="0" xfId="0" applyFont="1" applyFill="1" applyAlignment="1">
      <alignment vertical="center"/>
    </xf>
    <xf numFmtId="0" fontId="14" fillId="8" borderId="0" xfId="0" applyFont="1" applyFill="1"/>
    <xf numFmtId="0" fontId="14" fillId="8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/>
    </xf>
    <xf numFmtId="0" fontId="13" fillId="8" borderId="0" xfId="0" applyFont="1" applyFill="1" applyAlignment="1">
      <alignment vertical="center" wrapText="1"/>
    </xf>
    <xf numFmtId="0" fontId="1" fillId="8" borderId="0" xfId="0" applyFont="1" applyFill="1"/>
    <xf numFmtId="0" fontId="15" fillId="9" borderId="30" xfId="0" applyFont="1" applyFill="1" applyBorder="1"/>
    <xf numFmtId="0" fontId="14" fillId="9" borderId="30" xfId="0" applyFont="1" applyFill="1" applyBorder="1" applyAlignment="1">
      <alignment wrapText="1"/>
    </xf>
    <xf numFmtId="0" fontId="15" fillId="9" borderId="30" xfId="0" applyFont="1" applyFill="1" applyBorder="1" applyAlignment="1">
      <alignment horizontal="center"/>
    </xf>
    <xf numFmtId="0" fontId="16" fillId="9" borderId="30" xfId="0" applyFont="1" applyFill="1" applyBorder="1" applyAlignment="1">
      <alignment vertical="top" wrapText="1"/>
    </xf>
    <xf numFmtId="0" fontId="15" fillId="9" borderId="30" xfId="0" applyFont="1" applyFill="1" applyBorder="1" applyAlignment="1">
      <alignment vertical="center"/>
    </xf>
    <xf numFmtId="0" fontId="14" fillId="9" borderId="30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5" fillId="9" borderId="30" xfId="0" applyFont="1" applyFill="1" applyBorder="1" applyAlignment="1">
      <alignment vertical="center" wrapText="1"/>
    </xf>
    <xf numFmtId="164" fontId="14" fillId="9" borderId="30" xfId="0" applyNumberFormat="1" applyFont="1" applyFill="1" applyBorder="1" applyAlignment="1">
      <alignment horizontal="right" vertical="center" wrapText="1"/>
    </xf>
    <xf numFmtId="0" fontId="14" fillId="9" borderId="30" xfId="0" applyFont="1" applyFill="1" applyBorder="1" applyAlignment="1">
      <alignment horizontal="center" vertical="center" wrapText="1"/>
    </xf>
    <xf numFmtId="168" fontId="14" fillId="9" borderId="30" xfId="0" applyNumberFormat="1" applyFont="1" applyFill="1" applyBorder="1" applyAlignment="1">
      <alignment horizontal="right" vertical="center" wrapText="1"/>
    </xf>
    <xf numFmtId="0" fontId="15" fillId="9" borderId="34" xfId="0" applyFont="1" applyFill="1" applyBorder="1" applyAlignment="1">
      <alignment vertical="center" wrapText="1"/>
    </xf>
    <xf numFmtId="0" fontId="14" fillId="9" borderId="34" xfId="0" applyFont="1" applyFill="1" applyBorder="1" applyAlignment="1">
      <alignment vertical="center" wrapText="1"/>
    </xf>
    <xf numFmtId="168" fontId="14" fillId="9" borderId="34" xfId="0" applyNumberFormat="1" applyFont="1" applyFill="1" applyBorder="1" applyAlignment="1">
      <alignment horizontal="right" vertical="center" wrapText="1"/>
    </xf>
    <xf numFmtId="0" fontId="14" fillId="9" borderId="34" xfId="0" applyFont="1" applyFill="1" applyBorder="1" applyAlignment="1">
      <alignment horizontal="center" vertical="center" wrapText="1"/>
    </xf>
    <xf numFmtId="164" fontId="15" fillId="6" borderId="14" xfId="0" applyNumberFormat="1" applyFont="1" applyFill="1" applyBorder="1" applyAlignment="1">
      <alignment horizontal="right" vertical="center" wrapText="1"/>
    </xf>
    <xf numFmtId="164" fontId="14" fillId="7" borderId="0" xfId="0" applyNumberFormat="1" applyFont="1" applyFill="1" applyAlignment="1">
      <alignment horizontal="right" vertical="center" wrapText="1"/>
    </xf>
    <xf numFmtId="164" fontId="15" fillId="4" borderId="17" xfId="0" applyNumberFormat="1" applyFont="1" applyFill="1" applyBorder="1" applyAlignment="1">
      <alignment horizontal="right" vertical="center" wrapText="1"/>
    </xf>
    <xf numFmtId="169" fontId="15" fillId="4" borderId="0" xfId="0" applyNumberFormat="1" applyFont="1" applyFill="1" applyAlignment="1">
      <alignment horizontal="right" vertical="center" wrapText="1"/>
    </xf>
    <xf numFmtId="169" fontId="15" fillId="4" borderId="11" xfId="0" applyNumberFormat="1" applyFont="1" applyFill="1" applyBorder="1" applyAlignment="1">
      <alignment horizontal="right" vertical="center" wrapText="1"/>
    </xf>
    <xf numFmtId="0" fontId="15" fillId="9" borderId="35" xfId="0" applyFont="1" applyFill="1" applyBorder="1" applyAlignment="1">
      <alignment vertical="center" wrapText="1"/>
    </xf>
    <xf numFmtId="0" fontId="14" fillId="9" borderId="35" xfId="0" applyFont="1" applyFill="1" applyBorder="1" applyAlignment="1">
      <alignment vertical="center" wrapText="1"/>
    </xf>
    <xf numFmtId="164" fontId="14" fillId="9" borderId="35" xfId="0" applyNumberFormat="1" applyFont="1" applyFill="1" applyBorder="1" applyAlignment="1">
      <alignment horizontal="right" vertical="center" wrapText="1"/>
    </xf>
    <xf numFmtId="0" fontId="14" fillId="9" borderId="35" xfId="0" applyFont="1" applyFill="1" applyBorder="1" applyAlignment="1">
      <alignment horizontal="center" vertical="center" wrapText="1"/>
    </xf>
    <xf numFmtId="0" fontId="15" fillId="9" borderId="15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5" fillId="9" borderId="18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 wrapText="1"/>
    </xf>
    <xf numFmtId="0" fontId="15" fillId="9" borderId="12" xfId="0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0" fontId="15" fillId="9" borderId="13" xfId="0" applyFont="1" applyFill="1" applyBorder="1" applyAlignment="1">
      <alignment vertical="center" wrapText="1"/>
    </xf>
    <xf numFmtId="0" fontId="15" fillId="9" borderId="14" xfId="0" applyFont="1" applyFill="1" applyBorder="1" applyAlignment="1">
      <alignment vertical="center" wrapText="1"/>
    </xf>
    <xf numFmtId="0" fontId="15" fillId="9" borderId="8" xfId="0" applyFont="1" applyFill="1" applyBorder="1" applyAlignment="1">
      <alignment vertical="center" wrapText="1"/>
    </xf>
    <xf numFmtId="0" fontId="14" fillId="9" borderId="0" xfId="0" applyFont="1" applyFill="1" applyAlignment="1">
      <alignment vertical="center" wrapText="1"/>
    </xf>
    <xf numFmtId="0" fontId="15" fillId="9" borderId="16" xfId="0" applyFont="1" applyFill="1" applyBorder="1" applyAlignment="1">
      <alignment vertical="center" wrapText="1"/>
    </xf>
    <xf numFmtId="0" fontId="15" fillId="9" borderId="17" xfId="0" applyFont="1" applyFill="1" applyBorder="1" applyAlignment="1">
      <alignment vertical="center" wrapText="1"/>
    </xf>
    <xf numFmtId="0" fontId="15" fillId="9" borderId="0" xfId="0" applyFont="1" applyFill="1" applyAlignment="1">
      <alignment vertical="center" wrapText="1"/>
    </xf>
    <xf numFmtId="0" fontId="15" fillId="9" borderId="10" xfId="0" applyFont="1" applyFill="1" applyBorder="1" applyAlignment="1">
      <alignment vertical="center" wrapText="1"/>
    </xf>
    <xf numFmtId="0" fontId="15" fillId="9" borderId="11" xfId="0" applyFont="1" applyFill="1" applyBorder="1" applyAlignment="1">
      <alignment vertical="center" wrapText="1"/>
    </xf>
    <xf numFmtId="0" fontId="14" fillId="9" borderId="11" xfId="0" applyFont="1" applyFill="1" applyBorder="1" applyAlignment="1">
      <alignment vertical="center" wrapText="1"/>
    </xf>
    <xf numFmtId="164" fontId="14" fillId="9" borderId="11" xfId="0" applyNumberFormat="1" applyFont="1" applyFill="1" applyBorder="1" applyAlignment="1">
      <alignment horizontal="right" vertical="center" wrapText="1"/>
    </xf>
    <xf numFmtId="0" fontId="20" fillId="11" borderId="1" xfId="0" applyFont="1" applyFill="1" applyBorder="1" applyAlignment="1">
      <alignment vertical="center" wrapText="1"/>
    </xf>
    <xf numFmtId="0" fontId="20" fillId="11" borderId="1" xfId="0" applyFont="1" applyFill="1" applyBorder="1" applyAlignment="1">
      <alignment horizontal="right" vertical="center" wrapText="1"/>
    </xf>
    <xf numFmtId="0" fontId="8" fillId="11" borderId="1" xfId="0" applyFont="1" applyFill="1" applyBorder="1" applyAlignment="1">
      <alignment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2" fillId="11" borderId="0" xfId="0" applyFont="1" applyFill="1"/>
    <xf numFmtId="0" fontId="0" fillId="11" borderId="0" xfId="0" applyFill="1"/>
    <xf numFmtId="0" fontId="6" fillId="11" borderId="0" xfId="0" applyFont="1" applyFill="1" applyAlignment="1">
      <alignment vertical="center" wrapText="1"/>
    </xf>
    <xf numFmtId="164" fontId="12" fillId="10" borderId="36" xfId="0" applyNumberFormat="1" applyFont="1" applyFill="1" applyBorder="1" applyAlignment="1">
      <alignment horizontal="center" vertical="center" wrapText="1"/>
    </xf>
    <xf numFmtId="164" fontId="12" fillId="5" borderId="36" xfId="0" applyNumberFormat="1" applyFont="1" applyFill="1" applyBorder="1" applyAlignment="1">
      <alignment horizontal="center" vertical="center" wrapText="1"/>
    </xf>
    <xf numFmtId="0" fontId="9" fillId="8" borderId="0" xfId="0" applyFont="1" applyFill="1" applyAlignment="1">
      <alignment vertical="center" wrapText="1"/>
    </xf>
    <xf numFmtId="0" fontId="24" fillId="11" borderId="32" xfId="0" applyFont="1" applyFill="1" applyBorder="1" applyAlignment="1">
      <alignment horizontal="center" vertical="center"/>
    </xf>
    <xf numFmtId="0" fontId="25" fillId="5" borderId="31" xfId="0" applyFont="1" applyFill="1" applyBorder="1" applyAlignment="1">
      <alignment horizontal="center" vertical="center"/>
    </xf>
    <xf numFmtId="0" fontId="18" fillId="11" borderId="0" xfId="0" applyFont="1" applyFill="1"/>
    <xf numFmtId="0" fontId="19" fillId="11" borderId="0" xfId="0" applyFont="1" applyFill="1"/>
    <xf numFmtId="0" fontId="3" fillId="8" borderId="0" xfId="0" applyFont="1" applyFill="1"/>
    <xf numFmtId="170" fontId="14" fillId="9" borderId="30" xfId="0" applyNumberFormat="1" applyFont="1" applyFill="1" applyBorder="1" applyAlignment="1">
      <alignment vertical="center" wrapText="1"/>
    </xf>
    <xf numFmtId="164" fontId="14" fillId="9" borderId="30" xfId="0" applyNumberFormat="1" applyFont="1" applyFill="1" applyBorder="1" applyAlignment="1">
      <alignment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  <xf numFmtId="0" fontId="15" fillId="4" borderId="30" xfId="0" applyFont="1" applyFill="1" applyBorder="1" applyAlignment="1">
      <alignment vertical="center" wrapText="1"/>
    </xf>
    <xf numFmtId="0" fontId="15" fillId="6" borderId="30" xfId="0" applyFont="1" applyFill="1" applyBorder="1" applyAlignment="1">
      <alignment vertical="center" wrapText="1"/>
    </xf>
    <xf numFmtId="0" fontId="11" fillId="11" borderId="30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vertical="center" wrapText="1"/>
    </xf>
    <xf numFmtId="0" fontId="26" fillId="9" borderId="36" xfId="0" applyFont="1" applyFill="1" applyBorder="1" applyAlignment="1">
      <alignment horizontal="center" vertical="center" wrapText="1"/>
    </xf>
    <xf numFmtId="0" fontId="26" fillId="9" borderId="36" xfId="0" applyFont="1" applyFill="1" applyBorder="1" applyAlignment="1">
      <alignment vertical="center" wrapText="1"/>
    </xf>
    <xf numFmtId="0" fontId="26" fillId="9" borderId="30" xfId="0" applyFont="1" applyFill="1" applyBorder="1" applyAlignment="1">
      <alignment horizontal="center" vertical="center" wrapText="1"/>
    </xf>
    <xf numFmtId="0" fontId="26" fillId="9" borderId="30" xfId="0" applyFont="1" applyFill="1" applyBorder="1" applyAlignment="1">
      <alignment vertical="center" wrapText="1"/>
    </xf>
    <xf numFmtId="0" fontId="25" fillId="5" borderId="32" xfId="0" applyFont="1" applyFill="1" applyBorder="1" applyAlignment="1">
      <alignment horizontal="center" vertical="center"/>
    </xf>
    <xf numFmtId="0" fontId="24" fillId="11" borderId="39" xfId="0" applyFont="1" applyFill="1" applyBorder="1" applyAlignment="1">
      <alignment horizontal="center" vertical="center"/>
    </xf>
    <xf numFmtId="0" fontId="9" fillId="11" borderId="0" xfId="0" applyFont="1" applyFill="1" applyAlignment="1">
      <alignment horizontal="left" vertical="center" wrapText="1"/>
    </xf>
    <xf numFmtId="0" fontId="9" fillId="11" borderId="0" xfId="0" applyFont="1" applyFill="1" applyAlignment="1">
      <alignment vertical="center" wrapText="1"/>
    </xf>
    <xf numFmtId="0" fontId="13" fillId="11" borderId="0" xfId="0" applyFont="1" applyFill="1" applyAlignment="1">
      <alignment vertical="center" wrapText="1"/>
    </xf>
    <xf numFmtId="0" fontId="17" fillId="11" borderId="0" xfId="0" applyFont="1" applyFill="1" applyAlignment="1">
      <alignment vertical="center"/>
    </xf>
    <xf numFmtId="0" fontId="15" fillId="11" borderId="1" xfId="0" applyFont="1" applyFill="1" applyBorder="1" applyAlignment="1">
      <alignment vertical="center"/>
    </xf>
    <xf numFmtId="0" fontId="14" fillId="11" borderId="1" xfId="0" applyFont="1" applyFill="1" applyBorder="1" applyAlignment="1">
      <alignment vertical="top" wrapText="1"/>
    </xf>
    <xf numFmtId="0" fontId="15" fillId="11" borderId="0" xfId="0" applyFont="1" applyFill="1" applyAlignment="1">
      <alignment vertical="center"/>
    </xf>
    <xf numFmtId="0" fontId="14" fillId="11" borderId="0" xfId="0" applyFont="1" applyFill="1"/>
    <xf numFmtId="0" fontId="1" fillId="11" borderId="0" xfId="0" applyFont="1" applyFill="1"/>
    <xf numFmtId="0" fontId="8" fillId="11" borderId="30" xfId="0" applyFont="1" applyFill="1" applyBorder="1" applyAlignment="1">
      <alignment horizontal="center" vertical="top" wrapText="1"/>
    </xf>
    <xf numFmtId="170" fontId="12" fillId="5" borderId="30" xfId="0" applyNumberFormat="1" applyFont="1" applyFill="1" applyBorder="1" applyAlignment="1">
      <alignment horizontal="center" vertical="center" wrapText="1"/>
    </xf>
    <xf numFmtId="170" fontId="30" fillId="3" borderId="30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26" fillId="9" borderId="22" xfId="0" applyFont="1" applyFill="1" applyBorder="1" applyAlignment="1">
      <alignment horizontal="center" vertical="center" wrapText="1"/>
    </xf>
    <xf numFmtId="0" fontId="26" fillId="9" borderId="23" xfId="0" applyFont="1" applyFill="1" applyBorder="1" applyAlignment="1">
      <alignment horizontal="center" vertical="center" wrapText="1"/>
    </xf>
    <xf numFmtId="0" fontId="26" fillId="9" borderId="24" xfId="0" applyFont="1" applyFill="1" applyBorder="1" applyAlignment="1">
      <alignment horizontal="center" vertical="center" wrapText="1"/>
    </xf>
    <xf numFmtId="0" fontId="26" fillId="9" borderId="25" xfId="0" applyFont="1" applyFill="1" applyBorder="1" applyAlignment="1">
      <alignment horizontal="center" vertical="center" wrapText="1"/>
    </xf>
    <xf numFmtId="0" fontId="26" fillId="9" borderId="0" xfId="0" applyFont="1" applyFill="1" applyAlignment="1">
      <alignment horizontal="center" vertical="center" wrapText="1"/>
    </xf>
    <xf numFmtId="0" fontId="26" fillId="9" borderId="26" xfId="0" applyFont="1" applyFill="1" applyBorder="1" applyAlignment="1">
      <alignment horizontal="center" vertical="center" wrapText="1"/>
    </xf>
    <xf numFmtId="0" fontId="26" fillId="9" borderId="27" xfId="0" applyFont="1" applyFill="1" applyBorder="1" applyAlignment="1">
      <alignment horizontal="center" vertical="center" wrapText="1"/>
    </xf>
    <xf numFmtId="0" fontId="26" fillId="9" borderId="28" xfId="0" applyFont="1" applyFill="1" applyBorder="1" applyAlignment="1">
      <alignment horizontal="center" vertical="center" wrapText="1"/>
    </xf>
    <xf numFmtId="0" fontId="26" fillId="9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164" fontId="14" fillId="9" borderId="30" xfId="0" applyNumberFormat="1" applyFont="1" applyFill="1" applyBorder="1" applyAlignment="1">
      <alignment horizontal="center" vertical="center" wrapText="1"/>
    </xf>
    <xf numFmtId="164" fontId="15" fillId="6" borderId="30" xfId="0" applyNumberFormat="1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/>
    </xf>
    <xf numFmtId="0" fontId="22" fillId="11" borderId="1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left" vertical="center" wrapText="1"/>
    </xf>
    <xf numFmtId="0" fontId="15" fillId="4" borderId="19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1" fillId="8" borderId="22" xfId="0" applyFont="1" applyFill="1" applyBorder="1" applyAlignment="1">
      <alignment horizontal="center" vertical="center" wrapText="1"/>
    </xf>
    <xf numFmtId="0" fontId="11" fillId="8" borderId="23" xfId="0" applyFont="1" applyFill="1" applyBorder="1" applyAlignment="1">
      <alignment horizontal="center" vertical="center" wrapText="1"/>
    </xf>
    <xf numFmtId="0" fontId="11" fillId="8" borderId="24" xfId="0" applyFont="1" applyFill="1" applyBorder="1" applyAlignment="1">
      <alignment horizontal="center" vertical="center" wrapText="1"/>
    </xf>
    <xf numFmtId="169" fontId="28" fillId="3" borderId="25" xfId="0" applyNumberFormat="1" applyFont="1" applyFill="1" applyBorder="1" applyAlignment="1">
      <alignment horizontal="center" vertical="center"/>
    </xf>
    <xf numFmtId="169" fontId="28" fillId="3" borderId="0" xfId="0" applyNumberFormat="1" applyFont="1" applyFill="1" applyAlignment="1">
      <alignment horizontal="center" vertical="center"/>
    </xf>
    <xf numFmtId="169" fontId="28" fillId="3" borderId="26" xfId="0" applyNumberFormat="1" applyFont="1" applyFill="1" applyBorder="1" applyAlignment="1">
      <alignment horizontal="center" vertical="center"/>
    </xf>
    <xf numFmtId="169" fontId="28" fillId="3" borderId="27" xfId="0" applyNumberFormat="1" applyFont="1" applyFill="1" applyBorder="1" applyAlignment="1">
      <alignment horizontal="center" vertical="center"/>
    </xf>
    <xf numFmtId="169" fontId="28" fillId="3" borderId="28" xfId="0" applyNumberFormat="1" applyFont="1" applyFill="1" applyBorder="1" applyAlignment="1">
      <alignment horizontal="center" vertical="center"/>
    </xf>
    <xf numFmtId="169" fontId="28" fillId="3" borderId="29" xfId="0" applyNumberFormat="1" applyFont="1" applyFill="1" applyBorder="1" applyAlignment="1">
      <alignment horizontal="center" vertical="center"/>
    </xf>
    <xf numFmtId="170" fontId="28" fillId="3" borderId="25" xfId="0" applyNumberFormat="1" applyFont="1" applyFill="1" applyBorder="1" applyAlignment="1">
      <alignment horizontal="center" vertical="center"/>
    </xf>
    <xf numFmtId="170" fontId="28" fillId="3" borderId="0" xfId="0" applyNumberFormat="1" applyFont="1" applyFill="1" applyAlignment="1">
      <alignment horizontal="center" vertical="center"/>
    </xf>
    <xf numFmtId="170" fontId="28" fillId="3" borderId="26" xfId="0" applyNumberFormat="1" applyFont="1" applyFill="1" applyBorder="1" applyAlignment="1">
      <alignment horizontal="center" vertical="center"/>
    </xf>
    <xf numFmtId="170" fontId="28" fillId="3" borderId="27" xfId="0" applyNumberFormat="1" applyFont="1" applyFill="1" applyBorder="1" applyAlignment="1">
      <alignment horizontal="center" vertical="center"/>
    </xf>
    <xf numFmtId="170" fontId="28" fillId="3" borderId="28" xfId="0" applyNumberFormat="1" applyFont="1" applyFill="1" applyBorder="1" applyAlignment="1">
      <alignment horizontal="center" vertical="center"/>
    </xf>
    <xf numFmtId="170" fontId="28" fillId="3" borderId="29" xfId="0" applyNumberFormat="1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vertical="center" wrapText="1"/>
    </xf>
    <xf numFmtId="0" fontId="15" fillId="9" borderId="2" xfId="0" applyFont="1" applyFill="1" applyBorder="1" applyAlignment="1">
      <alignment vertical="center" wrapText="1"/>
    </xf>
    <xf numFmtId="0" fontId="15" fillId="9" borderId="3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vertical="center" wrapText="1"/>
    </xf>
    <xf numFmtId="0" fontId="14" fillId="9" borderId="3" xfId="0" applyFont="1" applyFill="1" applyBorder="1" applyAlignment="1">
      <alignment vertical="center" wrapText="1"/>
    </xf>
    <xf numFmtId="0" fontId="9" fillId="8" borderId="0" xfId="0" applyFont="1" applyFill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left" vertical="center" wrapText="1"/>
    </xf>
    <xf numFmtId="0" fontId="11" fillId="8" borderId="0" xfId="0" applyFont="1" applyFill="1" applyAlignment="1">
      <alignment horizontal="left" vertical="center"/>
    </xf>
    <xf numFmtId="0" fontId="24" fillId="11" borderId="33" xfId="0" applyFont="1" applyFill="1" applyBorder="1" applyAlignment="1">
      <alignment horizontal="center" vertical="center"/>
    </xf>
    <xf numFmtId="0" fontId="24" fillId="11" borderId="37" xfId="0" applyFont="1" applyFill="1" applyBorder="1" applyAlignment="1">
      <alignment horizontal="center" vertical="center"/>
    </xf>
    <xf numFmtId="0" fontId="24" fillId="11" borderId="38" xfId="0" applyFont="1" applyFill="1" applyBorder="1" applyAlignment="1">
      <alignment horizontal="center" vertical="center"/>
    </xf>
    <xf numFmtId="0" fontId="4" fillId="13" borderId="0" xfId="0" applyFont="1" applyFill="1" applyAlignment="1">
      <alignment horizontal="left" vertical="center"/>
    </xf>
    <xf numFmtId="0" fontId="5" fillId="11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29" fillId="11" borderId="0" xfId="0" applyFont="1" applyFill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0" fontId="21" fillId="2" borderId="40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15" fillId="12" borderId="43" xfId="0" applyFont="1" applyFill="1" applyBorder="1" applyAlignment="1">
      <alignment vertical="center" wrapText="1"/>
    </xf>
    <xf numFmtId="0" fontId="14" fillId="12" borderId="43" xfId="0" applyFont="1" applyFill="1" applyBorder="1" applyAlignment="1">
      <alignment vertical="center" wrapText="1"/>
    </xf>
    <xf numFmtId="169" fontId="28" fillId="14" borderId="42" xfId="0" applyNumberFormat="1" applyFont="1" applyFill="1" applyBorder="1" applyAlignment="1">
      <alignment horizontal="center" vertical="center"/>
    </xf>
    <xf numFmtId="170" fontId="28" fillId="14" borderId="42" xfId="0" applyNumberFormat="1" applyFont="1" applyFill="1" applyBorder="1" applyAlignment="1">
      <alignment horizontal="center" vertical="center"/>
    </xf>
    <xf numFmtId="0" fontId="14" fillId="12" borderId="43" xfId="0" applyFont="1" applyFill="1" applyBorder="1" applyAlignment="1">
      <alignment horizontal="center" vertical="center" wrapText="1"/>
    </xf>
    <xf numFmtId="171" fontId="15" fillId="12" borderId="43" xfId="0" applyNumberFormat="1" applyFont="1" applyFill="1" applyBorder="1" applyAlignment="1">
      <alignment horizontal="center" vertical="center" wrapText="1"/>
    </xf>
    <xf numFmtId="0" fontId="14" fillId="12" borderId="43" xfId="0" applyFont="1" applyFill="1" applyBorder="1" applyAlignment="1">
      <alignment horizontal="left" vertical="center" wrapText="1"/>
    </xf>
    <xf numFmtId="0" fontId="15" fillId="12" borderId="43" xfId="0" applyFont="1" applyFill="1" applyBorder="1" applyAlignment="1">
      <alignment horizontal="center" vertical="center" wrapText="1"/>
    </xf>
    <xf numFmtId="170" fontId="12" fillId="15" borderId="3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8"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ont>
        <b/>
        <color rgb="FFC00000"/>
      </font>
      <fill>
        <patternFill patternType="solid">
          <bgColor rgb="FFF4CCCC"/>
        </patternFill>
      </fill>
    </dxf>
    <dxf>
      <font>
        <b/>
        <color rgb="FF26312F"/>
      </font>
      <fill>
        <patternFill patternType="solid">
          <bgColor rgb="FFE2F0D9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</dxfs>
  <tableStyles count="0" defaultTableStyle="TableStyleMedium2" defaultPivotStyle="PivotStyleLight16"/>
  <colors>
    <mruColors>
      <color rgb="FFFFF2CC"/>
      <color rgb="FF025564"/>
      <color rgb="FF037183"/>
      <color rgb="FFFAF4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b="1">
                <a:solidFill>
                  <a:srgbClr val="025564"/>
                </a:solidFill>
                <a:latin typeface="Lato"/>
                <a:ea typeface="Lato"/>
                <a:cs typeface="Lato"/>
              </a:rPr>
              <a:t>Where the estimated social value comes from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Estimated value</c:v>
          </c:tx>
          <c:invertIfNegative val="0"/>
          <c:cat>
            <c:strRef>
              <c:f>Dashboard!$B$14:$B$19</c:f>
              <c:strCache>
                <c:ptCount val="6"/>
                <c:pt idx="0">
                  <c:v>Healthcare savings</c:v>
                </c:pt>
                <c:pt idx="1">
                  <c:v>Maternal health</c:v>
                </c:pt>
                <c:pt idx="2">
                  <c:v>Education &amp; earnings</c:v>
                </c:pt>
                <c:pt idx="3">
                  <c:v>Existing-child / birth spacing</c:v>
                </c:pt>
                <c:pt idx="4">
                  <c:v>Autonomy &amp; well-being</c:v>
                </c:pt>
                <c:pt idx="5">
                  <c:v>Adjustments &amp; harms</c:v>
                </c:pt>
              </c:strCache>
            </c:strRef>
          </c:cat>
          <c:val>
            <c:numRef>
              <c:f>Dashboard!$C$14:$C$19</c:f>
              <c:numCache>
                <c:formatCode>\$#,##0;[Red]\(\$#,##0\);\-</c:formatCode>
                <c:ptCount val="6"/>
                <c:pt idx="0">
                  <c:v>75405.330000000016</c:v>
                </c:pt>
                <c:pt idx="1">
                  <c:v>22621.599000000002</c:v>
                </c:pt>
                <c:pt idx="2">
                  <c:v>301621.32000000007</c:v>
                </c:pt>
                <c:pt idx="3">
                  <c:v>150810.66000000003</c:v>
                </c:pt>
                <c:pt idx="4">
                  <c:v>62837.775000000009</c:v>
                </c:pt>
                <c:pt idx="5">
                  <c:v>-140656.08532500002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79-4881-A533-71DC43FD6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rgbClr val="025564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;[Red]\(\$#,##0\);\-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rgbClr val="025564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48650112"/>
        <c:crosses val="autoZero"/>
        <c:crossBetween val="between"/>
      </c:valAx>
      <c:spPr>
        <a:solidFill>
          <a:srgbClr val="FAF4E6"/>
        </a:solidFill>
      </c:spPr>
    </c:plotArea>
    <c:plotVisOnly val="1"/>
    <c:dispBlanksAs val="zero"/>
    <c:showDLblsOverMax val="1"/>
  </c:chart>
  <c:spPr>
    <a:solidFill>
      <a:srgbClr val="FAF4E6"/>
    </a:solidFill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opLeftCell="A2" workbookViewId="0">
      <selection activeCell="O28" sqref="O28"/>
    </sheetView>
  </sheetViews>
  <sheetFormatPr defaultRowHeight="14.25"/>
  <cols>
    <col min="1" max="1" width="13.25" style="66" customWidth="1"/>
    <col min="2" max="2" width="36.75" style="66" customWidth="1"/>
    <col min="3" max="5" width="18" style="66" customWidth="1"/>
    <col min="6" max="6" width="45" style="66" customWidth="1"/>
    <col min="7" max="7" width="4" style="66" customWidth="1"/>
    <col min="8" max="13" width="14" style="66" customWidth="1"/>
    <col min="14" max="16384" width="9" style="66"/>
  </cols>
  <sheetData>
    <row r="1" spans="1:14" ht="39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78.75" customHeight="1">
      <c r="A2" s="11"/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1"/>
    </row>
    <row r="3" spans="1:14" ht="30" customHeight="1">
      <c r="A3" s="11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1"/>
    </row>
    <row r="4" spans="1:14" ht="18">
      <c r="A4" s="11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11"/>
    </row>
    <row r="5" spans="1:14" ht="24.95" customHeight="1">
      <c r="A5" s="11"/>
      <c r="B5" s="123" t="str">
        <f>IF('Inputs &amp; Guidance'!$F$4="Yes","Selected scenario: "&amp;'Inputs &amp; Guidance'!$C$4&amp;" | Minimum ethical safeguards confirmed","STOP: minimum ethical safeguards have not been confirmed. Results are not decision-eligible.")</f>
        <v>Selected scenario: Base | Minimum ethical safeguards confirmed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5"/>
      <c r="N5" s="11"/>
    </row>
    <row r="6" spans="1:14" ht="18">
      <c r="A6" s="11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11"/>
    </row>
    <row r="7" spans="1:14" ht="29.25" customHeight="1">
      <c r="A7" s="11"/>
      <c r="B7" s="126" t="s">
        <v>2</v>
      </c>
      <c r="C7" s="127"/>
      <c r="D7" s="128"/>
      <c r="E7" s="126" t="s">
        <v>3</v>
      </c>
      <c r="F7" s="127"/>
      <c r="G7" s="128"/>
      <c r="H7" s="126" t="s">
        <v>4</v>
      </c>
      <c r="I7" s="127"/>
      <c r="J7" s="128"/>
      <c r="K7" s="126" t="s">
        <v>5</v>
      </c>
      <c r="L7" s="127"/>
      <c r="M7" s="128"/>
      <c r="N7" s="11"/>
    </row>
    <row r="8" spans="1:14">
      <c r="A8" s="11"/>
      <c r="B8" s="129">
        <f>IF('Inputs &amp; Guidance'!$F$4="No",0,IF('Inputs &amp; Guidance'!$C$4="Conservative",'Impact Model'!D28,IF('Inputs &amp; Guidance'!$C$4="Base",'Impact Model'!E28,'Impact Model'!F28)))</f>
        <v>4.7264059867500006</v>
      </c>
      <c r="C8" s="130"/>
      <c r="D8" s="131"/>
      <c r="E8" s="129">
        <f>IF('Inputs &amp; Guidance'!$F$4="No",0,IF('Inputs &amp; Guidance'!$C$4="Conservative",'Impact Model'!D29,IF('Inputs &amp; Guidance'!$C$4="Base",'Impact Model'!E29,'Impact Model'!F29)))</f>
        <v>3.7264059867500006</v>
      </c>
      <c r="F8" s="130"/>
      <c r="G8" s="131"/>
      <c r="H8" s="135">
        <f>IF('Inputs &amp; Guidance'!$F$4="No",0,IF('Inputs &amp; Guidance'!$C$4="Conservative",'Impact Model'!D11,IF('Inputs &amp; Guidance'!$C$4="Base",'Impact Model'!E11,'Impact Model'!F11)))</f>
        <v>754.05330000000015</v>
      </c>
      <c r="I8" s="136"/>
      <c r="J8" s="137"/>
      <c r="K8" s="135">
        <f>IF('Inputs &amp; Guidance'!$F$4="No",0,IF('Inputs &amp; Guidance'!$C$4="Conservative",'Impact Model'!D10,IF('Inputs &amp; Guidance'!$C$4="Base",'Impact Model'!E10,'Impact Model'!F10)))</f>
        <v>2513.5110000000004</v>
      </c>
      <c r="L8" s="136"/>
      <c r="M8" s="137"/>
      <c r="N8" s="11"/>
    </row>
    <row r="9" spans="1:14">
      <c r="A9" s="11"/>
      <c r="B9" s="129"/>
      <c r="C9" s="130"/>
      <c r="D9" s="131"/>
      <c r="E9" s="129"/>
      <c r="F9" s="130"/>
      <c r="G9" s="131"/>
      <c r="H9" s="135"/>
      <c r="I9" s="136"/>
      <c r="J9" s="137"/>
      <c r="K9" s="135"/>
      <c r="L9" s="136"/>
      <c r="M9" s="137"/>
      <c r="N9" s="11"/>
    </row>
    <row r="10" spans="1:14">
      <c r="A10" s="11"/>
      <c r="B10" s="132"/>
      <c r="C10" s="133"/>
      <c r="D10" s="134"/>
      <c r="E10" s="132"/>
      <c r="F10" s="133"/>
      <c r="G10" s="134"/>
      <c r="H10" s="138"/>
      <c r="I10" s="139"/>
      <c r="J10" s="140"/>
      <c r="K10" s="138"/>
      <c r="L10" s="139"/>
      <c r="M10" s="140"/>
      <c r="N10" s="11"/>
    </row>
    <row r="11" spans="1:14" ht="33.75">
      <c r="A11" s="11"/>
      <c r="B11" s="163"/>
      <c r="C11" s="163"/>
      <c r="D11" s="163"/>
      <c r="E11" s="163"/>
      <c r="F11" s="163"/>
      <c r="G11" s="163"/>
      <c r="H11" s="164"/>
      <c r="I11" s="164"/>
      <c r="J11" s="164"/>
      <c r="K11" s="164"/>
      <c r="L11" s="164"/>
      <c r="M11" s="164"/>
      <c r="N11" s="11"/>
    </row>
    <row r="12" spans="1:14" ht="30" customHeight="1">
      <c r="A12" s="11"/>
      <c r="B12" s="107" t="s">
        <v>6</v>
      </c>
      <c r="C12" s="107"/>
      <c r="D12" s="107"/>
      <c r="E12" s="1"/>
      <c r="F12" s="1"/>
      <c r="G12" s="1"/>
      <c r="H12" s="1"/>
      <c r="I12" s="1"/>
      <c r="J12" s="1"/>
      <c r="K12" s="1"/>
      <c r="L12" s="1"/>
      <c r="M12" s="1"/>
      <c r="N12" s="11"/>
    </row>
    <row r="13" spans="1:14" ht="18">
      <c r="A13" s="11"/>
      <c r="B13" s="85" t="s">
        <v>7</v>
      </c>
      <c r="C13" s="117" t="s">
        <v>8</v>
      </c>
      <c r="D13" s="117"/>
      <c r="E13" s="1"/>
      <c r="F13" s="1"/>
      <c r="G13" s="1"/>
      <c r="H13" s="1"/>
      <c r="I13" s="1"/>
      <c r="J13" s="1"/>
      <c r="K13" s="1"/>
      <c r="L13" s="1"/>
      <c r="M13" s="1"/>
      <c r="N13" s="11"/>
    </row>
    <row r="14" spans="1:14" ht="18">
      <c r="A14" s="11"/>
      <c r="B14" s="25" t="s">
        <v>9</v>
      </c>
      <c r="C14" s="118">
        <f>IF('Inputs &amp; Guidance'!$F$4="No",0,IF('Inputs &amp; Guidance'!$C$4="Conservative",'Impact Model'!D16,IF('Inputs &amp; Guidance'!$C$4="Base",'Impact Model'!E16,'Impact Model'!F16)))</f>
        <v>75405.330000000016</v>
      </c>
      <c r="D14" s="118"/>
      <c r="E14" s="1"/>
      <c r="F14" s="1"/>
      <c r="G14" s="1"/>
      <c r="H14" s="1"/>
      <c r="I14" s="1"/>
      <c r="J14" s="1"/>
      <c r="K14" s="1"/>
      <c r="L14" s="1"/>
      <c r="M14" s="1"/>
      <c r="N14" s="11"/>
    </row>
    <row r="15" spans="1:14" ht="18">
      <c r="A15" s="11"/>
      <c r="B15" s="25" t="s">
        <v>10</v>
      </c>
      <c r="C15" s="118">
        <f>IF('Inputs &amp; Guidance'!$F$4="No",0,IF('Inputs &amp; Guidance'!$C$4="Conservative",'Impact Model'!D17,IF('Inputs &amp; Guidance'!$C$4="Base",'Impact Model'!E17,'Impact Model'!F17)))</f>
        <v>22621.599000000002</v>
      </c>
      <c r="D15" s="118"/>
      <c r="E15" s="1"/>
      <c r="F15" s="1"/>
      <c r="G15" s="1"/>
      <c r="H15" s="1"/>
      <c r="I15" s="1"/>
      <c r="J15" s="1"/>
      <c r="K15" s="1"/>
      <c r="L15" s="1"/>
      <c r="M15" s="1"/>
      <c r="N15" s="11"/>
    </row>
    <row r="16" spans="1:14" ht="18">
      <c r="A16" s="11"/>
      <c r="B16" s="25" t="s">
        <v>11</v>
      </c>
      <c r="C16" s="118">
        <f>IF('Inputs &amp; Guidance'!$F$4="No",0,IF('Inputs &amp; Guidance'!$C$4="Conservative",'Impact Model'!D18,IF('Inputs &amp; Guidance'!$C$4="Base",'Impact Model'!E18,'Impact Model'!F18)))</f>
        <v>301621.32000000007</v>
      </c>
      <c r="D16" s="118"/>
      <c r="E16" s="1"/>
      <c r="F16" s="1"/>
      <c r="G16" s="1"/>
      <c r="H16" s="1"/>
      <c r="I16" s="1"/>
      <c r="J16" s="1"/>
      <c r="K16" s="1"/>
      <c r="L16" s="1"/>
      <c r="M16" s="1"/>
      <c r="N16" s="11"/>
    </row>
    <row r="17" spans="1:14" ht="18">
      <c r="A17" s="11"/>
      <c r="B17" s="25" t="s">
        <v>12</v>
      </c>
      <c r="C17" s="118">
        <f>IF('Inputs &amp; Guidance'!$F$4="No",0,IF('Inputs &amp; Guidance'!$C$4="Conservative",'Impact Model'!D19,IF('Inputs &amp; Guidance'!$C$4="Base",'Impact Model'!E19,'Impact Model'!F19)))</f>
        <v>150810.66000000003</v>
      </c>
      <c r="D17" s="118"/>
      <c r="E17" s="1"/>
      <c r="F17" s="1"/>
      <c r="G17" s="1"/>
      <c r="H17" s="1"/>
      <c r="I17" s="1"/>
      <c r="J17" s="1"/>
      <c r="K17" s="1"/>
      <c r="L17" s="1"/>
      <c r="M17" s="1"/>
      <c r="N17" s="11"/>
    </row>
    <row r="18" spans="1:14" ht="18">
      <c r="A18" s="11"/>
      <c r="B18" s="25" t="s">
        <v>13</v>
      </c>
      <c r="C18" s="118">
        <f>IF('Inputs &amp; Guidance'!$F$4="No",0,IF('Inputs &amp; Guidance'!$C$4="Conservative",'Impact Model'!D20,IF('Inputs &amp; Guidance'!$C$4="Base",'Impact Model'!E20,'Impact Model'!F20)))</f>
        <v>62837.775000000009</v>
      </c>
      <c r="D18" s="118"/>
      <c r="E18" s="1"/>
      <c r="F18" s="1"/>
      <c r="G18" s="1"/>
      <c r="H18" s="1"/>
      <c r="I18" s="1"/>
      <c r="J18" s="1"/>
      <c r="K18" s="1"/>
      <c r="L18" s="1"/>
      <c r="M18" s="1"/>
      <c r="N18" s="11"/>
    </row>
    <row r="19" spans="1:14" ht="18">
      <c r="A19" s="11"/>
      <c r="B19" s="25" t="s">
        <v>14</v>
      </c>
      <c r="C19" s="118">
        <f>IF('Inputs &amp; Guidance'!$F$4="No",0,IF('Inputs &amp; Guidance'!$C$4="Conservative",'Impact Model'!D22,IF('Inputs &amp; Guidance'!$C$4="Base",'Impact Model'!E22,'Impact Model'!F22)))+IF('Inputs &amp; Guidance'!$F$4="No",0,IF('Inputs &amp; Guidance'!$C$4="Conservative",'Impact Model'!D23,IF('Inputs &amp; Guidance'!$C$4="Base",'Impact Model'!E23,'Impact Model'!F23)))+IF('Inputs &amp; Guidance'!$F$4="No",0,IF('Inputs &amp; Guidance'!$C$4="Conservative",'Impact Model'!D24,IF('Inputs &amp; Guidance'!$C$4="Base",'Impact Model'!E24,'Impact Model'!F24)))</f>
        <v>-140656.08532500002</v>
      </c>
      <c r="D19" s="118"/>
      <c r="E19" s="1"/>
      <c r="F19" s="1"/>
      <c r="G19" s="1"/>
      <c r="H19" s="1"/>
      <c r="I19" s="1"/>
      <c r="J19" s="1"/>
      <c r="K19" s="1"/>
      <c r="L19" s="1"/>
      <c r="M19" s="1"/>
      <c r="N19" s="11"/>
    </row>
    <row r="20" spans="1:14" ht="18">
      <c r="A20" s="11"/>
      <c r="B20" s="86" t="s">
        <v>15</v>
      </c>
      <c r="C20" s="119">
        <f>IF('Inputs &amp; Guidance'!$F$4="No",0,IF('Inputs &amp; Guidance'!$C$4="Conservative",'Impact Model'!D25,IF('Inputs &amp; Guidance'!$C$4="Base",'Impact Model'!E25,'Impact Model'!F25)))</f>
        <v>472640.59867500007</v>
      </c>
      <c r="D20" s="119"/>
      <c r="E20" s="1"/>
      <c r="F20" s="1"/>
      <c r="G20" s="1"/>
      <c r="H20" s="1"/>
      <c r="I20" s="1"/>
      <c r="J20" s="1"/>
      <c r="K20" s="1"/>
      <c r="L20" s="1"/>
      <c r="M20" s="1"/>
      <c r="N20" s="11"/>
    </row>
    <row r="21" spans="1:14" ht="18">
      <c r="A21" s="11"/>
      <c r="B21" s="83"/>
      <c r="C21" s="83"/>
      <c r="D21" s="83"/>
      <c r="E21" s="81"/>
      <c r="F21" s="81"/>
      <c r="G21" s="81"/>
      <c r="H21" s="81"/>
      <c r="I21" s="81"/>
      <c r="J21" s="81"/>
      <c r="K21" s="81"/>
      <c r="L21" s="1"/>
      <c r="M21" s="1"/>
      <c r="N21" s="11"/>
    </row>
    <row r="22" spans="1:14" ht="18">
      <c r="A22" s="11"/>
      <c r="B22" s="83"/>
      <c r="C22" s="83"/>
      <c r="D22" s="83"/>
      <c r="E22" s="81"/>
      <c r="F22" s="81"/>
      <c r="G22" s="81"/>
      <c r="H22" s="81"/>
      <c r="I22" s="81"/>
      <c r="J22" s="81"/>
      <c r="K22" s="81"/>
      <c r="L22" s="1"/>
      <c r="M22" s="1"/>
      <c r="N22" s="11"/>
    </row>
    <row r="23" spans="1:14" ht="18">
      <c r="A23" s="11"/>
      <c r="B23" s="83"/>
      <c r="C23" s="83"/>
      <c r="D23" s="83"/>
      <c r="E23" s="81"/>
      <c r="F23" s="81"/>
      <c r="G23" s="81"/>
      <c r="H23" s="81"/>
      <c r="I23" s="81"/>
      <c r="J23" s="81"/>
      <c r="K23" s="81"/>
      <c r="L23" s="1"/>
      <c r="M23" s="1"/>
      <c r="N23" s="11"/>
    </row>
    <row r="24" spans="1:14" ht="18">
      <c r="A24" s="11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11"/>
    </row>
    <row r="25" spans="1:14" ht="21.95" customHeight="1">
      <c r="A25" s="11"/>
      <c r="B25" s="120" t="s">
        <v>16</v>
      </c>
      <c r="C25" s="120"/>
      <c r="D25" s="120"/>
      <c r="E25" s="120"/>
      <c r="F25" s="120"/>
      <c r="G25" s="82"/>
      <c r="H25" s="82"/>
      <c r="I25" s="82"/>
      <c r="J25" s="82"/>
      <c r="K25" s="82"/>
      <c r="L25" s="82"/>
      <c r="M25" s="82"/>
      <c r="N25" s="11"/>
    </row>
    <row r="26" spans="1:14" ht="18">
      <c r="A26" s="11"/>
      <c r="B26" s="78" t="s">
        <v>17</v>
      </c>
      <c r="C26" s="79" t="s">
        <v>18</v>
      </c>
      <c r="D26" s="79" t="s">
        <v>19</v>
      </c>
      <c r="E26" s="79" t="s">
        <v>20</v>
      </c>
      <c r="F26" s="80" t="s">
        <v>21</v>
      </c>
      <c r="G26" s="83"/>
      <c r="H26" s="108" t="s">
        <v>265</v>
      </c>
      <c r="I26" s="109"/>
      <c r="J26" s="109"/>
      <c r="K26" s="109"/>
      <c r="L26" s="109"/>
      <c r="M26" s="110"/>
      <c r="N26" s="11"/>
    </row>
    <row r="27" spans="1:14" ht="36">
      <c r="A27" s="11"/>
      <c r="B27" s="25" t="s">
        <v>2</v>
      </c>
      <c r="C27" s="2">
        <f>'Impact Model'!D28</f>
        <v>0.16855806000000001</v>
      </c>
      <c r="D27" s="2">
        <f>'Impact Model'!E28</f>
        <v>4.7264059867500006</v>
      </c>
      <c r="E27" s="2">
        <f>'Impact Model'!F28</f>
        <v>16.294400577427499</v>
      </c>
      <c r="F27" s="25" t="s">
        <v>22</v>
      </c>
      <c r="G27" s="83"/>
      <c r="H27" s="111"/>
      <c r="I27" s="112"/>
      <c r="J27" s="112"/>
      <c r="K27" s="112"/>
      <c r="L27" s="112"/>
      <c r="M27" s="113"/>
      <c r="N27" s="11"/>
    </row>
    <row r="28" spans="1:14" ht="36">
      <c r="A28" s="11"/>
      <c r="B28" s="25" t="s">
        <v>3</v>
      </c>
      <c r="C28" s="2">
        <f>'Impact Model'!D29</f>
        <v>-0.83144194000000005</v>
      </c>
      <c r="D28" s="2">
        <f>'Impact Model'!E29</f>
        <v>3.7264059867500006</v>
      </c>
      <c r="E28" s="2">
        <f>'Impact Model'!F29</f>
        <v>15.294400577427497</v>
      </c>
      <c r="F28" s="25" t="s">
        <v>23</v>
      </c>
      <c r="G28" s="83"/>
      <c r="H28" s="111"/>
      <c r="I28" s="112"/>
      <c r="J28" s="112"/>
      <c r="K28" s="112"/>
      <c r="L28" s="112"/>
      <c r="M28" s="113"/>
      <c r="N28" s="11"/>
    </row>
    <row r="29" spans="1:14" ht="18">
      <c r="A29" s="11"/>
      <c r="B29" s="25" t="s">
        <v>4</v>
      </c>
      <c r="C29" s="76">
        <f>'Impact Model'!D11</f>
        <v>127.62749999999998</v>
      </c>
      <c r="D29" s="76">
        <f>'Impact Model'!E11</f>
        <v>754.05330000000015</v>
      </c>
      <c r="E29" s="76">
        <f>'Impact Model'!F11</f>
        <v>1803.8419244999998</v>
      </c>
      <c r="F29" s="25" t="s">
        <v>24</v>
      </c>
      <c r="G29" s="83"/>
      <c r="H29" s="111"/>
      <c r="I29" s="112"/>
      <c r="J29" s="112"/>
      <c r="K29" s="112"/>
      <c r="L29" s="112"/>
      <c r="M29" s="113"/>
      <c r="N29" s="11"/>
    </row>
    <row r="30" spans="1:14" ht="36">
      <c r="A30" s="11"/>
      <c r="B30" s="25" t="s">
        <v>15</v>
      </c>
      <c r="C30" s="77">
        <f>'Impact Model'!D25</f>
        <v>16855.806</v>
      </c>
      <c r="D30" s="77">
        <f>'Impact Model'!E25</f>
        <v>472640.59867500007</v>
      </c>
      <c r="E30" s="77">
        <f>'Impact Model'!F25</f>
        <v>1629440.0577427498</v>
      </c>
      <c r="F30" s="25" t="s">
        <v>25</v>
      </c>
      <c r="G30" s="83"/>
      <c r="H30" s="111"/>
      <c r="I30" s="112"/>
      <c r="J30" s="112"/>
      <c r="K30" s="112"/>
      <c r="L30" s="112"/>
      <c r="M30" s="113"/>
      <c r="N30" s="11"/>
    </row>
    <row r="31" spans="1:14" ht="36">
      <c r="A31" s="11"/>
      <c r="B31" s="25" t="s">
        <v>237</v>
      </c>
      <c r="C31" s="77">
        <f>'Impact Model'!D30</f>
        <v>783.53019529490132</v>
      </c>
      <c r="D31" s="77">
        <f>'Impact Model'!E30</f>
        <v>132.61662007181718</v>
      </c>
      <c r="E31" s="77">
        <f>'Impact Model'!F30</f>
        <v>55.437230192838889</v>
      </c>
      <c r="F31" s="25" t="s">
        <v>238</v>
      </c>
      <c r="G31" s="83"/>
      <c r="H31" s="114"/>
      <c r="I31" s="115"/>
      <c r="J31" s="115"/>
      <c r="K31" s="115"/>
      <c r="L31" s="115"/>
      <c r="M31" s="116"/>
      <c r="N31" s="11"/>
    </row>
    <row r="32" spans="1:14" ht="15">
      <c r="A32" s="1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1"/>
    </row>
    <row r="33" spans="1:14" ht="15">
      <c r="A33" s="1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1"/>
    </row>
  </sheetData>
  <mergeCells count="22">
    <mergeCell ref="B2:M2"/>
    <mergeCell ref="B3:M3"/>
    <mergeCell ref="B5:M5"/>
    <mergeCell ref="B7:D7"/>
    <mergeCell ref="B8:D10"/>
    <mergeCell ref="E7:G7"/>
    <mergeCell ref="E8:G10"/>
    <mergeCell ref="H7:J7"/>
    <mergeCell ref="H8:J10"/>
    <mergeCell ref="K7:M7"/>
    <mergeCell ref="K8:M10"/>
    <mergeCell ref="B12:D12"/>
    <mergeCell ref="H26:M31"/>
    <mergeCell ref="C13:D13"/>
    <mergeCell ref="C14:D14"/>
    <mergeCell ref="C15:D15"/>
    <mergeCell ref="C16:D16"/>
    <mergeCell ref="C17:D17"/>
    <mergeCell ref="C18:D18"/>
    <mergeCell ref="C19:D19"/>
    <mergeCell ref="C20:D20"/>
    <mergeCell ref="B25:F25"/>
  </mergeCells>
  <conditionalFormatting sqref="C27:E27">
    <cfRule type="expression" dxfId="17" priority="4">
      <formula>AND(C27&gt;=0.5,C27&lt;1)</formula>
    </cfRule>
    <cfRule type="expression" dxfId="16" priority="5">
      <formula>C27&lt;0.5</formula>
    </cfRule>
  </conditionalFormatting>
  <conditionalFormatting sqref="C27:E28">
    <cfRule type="expression" dxfId="15" priority="3">
      <formula>C27&gt;=1</formula>
    </cfRule>
  </conditionalFormatting>
  <conditionalFormatting sqref="C28:E28">
    <cfRule type="expression" dxfId="14" priority="7">
      <formula>AND(C28&gt;=0,C28&lt;1)</formula>
    </cfRule>
    <cfRule type="expression" dxfId="13" priority="8">
      <formula>C28&lt;0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3"/>
  <sheetViews>
    <sheetView topLeftCell="A25" workbookViewId="0">
      <selection activeCell="E8" sqref="E8"/>
    </sheetView>
  </sheetViews>
  <sheetFormatPr defaultRowHeight="14.25"/>
  <cols>
    <col min="1" max="1" width="9" style="66"/>
    <col min="2" max="2" width="23.25" style="66" customWidth="1"/>
    <col min="3" max="3" width="38" style="66" customWidth="1"/>
    <col min="4" max="4" width="20.5" style="66" customWidth="1"/>
    <col min="5" max="5" width="19" style="66" customWidth="1"/>
    <col min="6" max="6" width="17.875" style="66" customWidth="1"/>
    <col min="7" max="7" width="18" style="66" customWidth="1"/>
    <col min="8" max="8" width="58.75" style="66" customWidth="1"/>
    <col min="9" max="9" width="40" style="66" customWidth="1"/>
    <col min="10" max="16384" width="9" style="66"/>
  </cols>
  <sheetData>
    <row r="1" spans="1:14" ht="37.5" customHeight="1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4" ht="84.75" customHeight="1">
      <c r="A2" s="11"/>
      <c r="B2" s="147" t="s">
        <v>26</v>
      </c>
      <c r="C2" s="147"/>
      <c r="D2" s="147"/>
      <c r="E2" s="147"/>
      <c r="F2" s="147"/>
      <c r="G2" s="147"/>
      <c r="H2" s="147"/>
      <c r="I2" s="147"/>
      <c r="J2" s="9"/>
      <c r="K2" s="65"/>
      <c r="L2" s="65"/>
      <c r="M2" s="65"/>
    </row>
    <row r="3" spans="1:14" ht="30" customHeight="1">
      <c r="A3" s="11"/>
      <c r="B3" s="146" t="s">
        <v>27</v>
      </c>
      <c r="C3" s="146"/>
      <c r="D3" s="146"/>
      <c r="E3" s="146"/>
      <c r="F3" s="70"/>
      <c r="G3" s="70"/>
      <c r="H3" s="70"/>
      <c r="I3" s="70"/>
      <c r="J3" s="10"/>
      <c r="K3" s="67"/>
      <c r="L3" s="67"/>
      <c r="M3" s="67"/>
    </row>
    <row r="4" spans="1:14" ht="39.75" customHeight="1">
      <c r="A4" s="11"/>
      <c r="B4" s="71" t="s">
        <v>28</v>
      </c>
      <c r="C4" s="72" t="s">
        <v>19</v>
      </c>
      <c r="D4" s="150" t="s">
        <v>29</v>
      </c>
      <c r="E4" s="150" t="s">
        <v>29</v>
      </c>
      <c r="F4" s="93" t="s">
        <v>30</v>
      </c>
      <c r="G4" s="151" t="s">
        <v>31</v>
      </c>
      <c r="H4" s="152" t="s">
        <v>31</v>
      </c>
      <c r="I4" s="94" t="str">
        <f>IF(F4="Yes","Decision-eligible","STOP: safeguards not satisfied")</f>
        <v>Decision-eligible</v>
      </c>
      <c r="J4" s="9"/>
      <c r="K4" s="65"/>
      <c r="L4" s="65"/>
      <c r="M4" s="65"/>
    </row>
    <row r="5" spans="1:14" ht="33.950000000000003" customHeight="1">
      <c r="A5" s="11"/>
      <c r="B5" s="148" t="s">
        <v>32</v>
      </c>
      <c r="C5" s="148"/>
      <c r="D5" s="148"/>
      <c r="E5" s="148"/>
      <c r="F5" s="148"/>
      <c r="G5" s="148"/>
      <c r="H5" s="148"/>
      <c r="I5" s="148"/>
      <c r="J5" s="9"/>
      <c r="K5" s="65"/>
      <c r="L5" s="65"/>
      <c r="M5" s="65"/>
    </row>
    <row r="6" spans="1:14" ht="32.1" customHeight="1">
      <c r="A6" s="11"/>
      <c r="B6" s="87" t="s">
        <v>33</v>
      </c>
      <c r="C6" s="87" t="s">
        <v>34</v>
      </c>
      <c r="D6" s="87" t="s">
        <v>18</v>
      </c>
      <c r="E6" s="87" t="s">
        <v>19</v>
      </c>
      <c r="F6" s="87" t="s">
        <v>20</v>
      </c>
      <c r="G6" s="87" t="s">
        <v>35</v>
      </c>
      <c r="H6" s="87" t="s">
        <v>36</v>
      </c>
      <c r="I6" s="87" t="s">
        <v>37</v>
      </c>
      <c r="J6" s="9"/>
      <c r="K6" s="65"/>
      <c r="L6" s="65"/>
      <c r="M6" s="65"/>
    </row>
    <row r="7" spans="1:14" ht="78" customHeight="1">
      <c r="A7" s="11"/>
      <c r="B7" s="90" t="s">
        <v>38</v>
      </c>
      <c r="C7" s="90" t="s">
        <v>39</v>
      </c>
      <c r="D7" s="68">
        <v>100000</v>
      </c>
      <c r="E7" s="69">
        <v>100000</v>
      </c>
      <c r="F7" s="69">
        <v>100000</v>
      </c>
      <c r="G7" s="89" t="s">
        <v>40</v>
      </c>
      <c r="H7" s="90" t="s">
        <v>41</v>
      </c>
      <c r="I7" s="90" t="s">
        <v>42</v>
      </c>
      <c r="J7" s="9"/>
      <c r="K7" s="73"/>
      <c r="L7" s="73"/>
      <c r="M7" s="73"/>
      <c r="N7" s="74"/>
    </row>
    <row r="8" spans="1:14" ht="129.75" customHeight="1">
      <c r="A8" s="11"/>
      <c r="B8" s="92" t="s">
        <v>38</v>
      </c>
      <c r="C8" s="92" t="s">
        <v>239</v>
      </c>
      <c r="D8" s="105">
        <v>2200</v>
      </c>
      <c r="E8" s="169">
        <v>2800</v>
      </c>
      <c r="F8" s="105">
        <v>3300</v>
      </c>
      <c r="G8" s="91" t="s">
        <v>115</v>
      </c>
      <c r="H8" s="92" t="s">
        <v>240</v>
      </c>
      <c r="I8" s="92" t="s">
        <v>241</v>
      </c>
      <c r="J8" s="9"/>
      <c r="K8" s="65"/>
      <c r="L8" s="65"/>
      <c r="M8" s="65"/>
    </row>
    <row r="9" spans="1:14" ht="44.1" customHeight="1">
      <c r="A9" s="11"/>
      <c r="B9" s="92" t="s">
        <v>38</v>
      </c>
      <c r="C9" s="92" t="s">
        <v>43</v>
      </c>
      <c r="D9" s="5">
        <v>0.6</v>
      </c>
      <c r="E9" s="5">
        <v>0.75</v>
      </c>
      <c r="F9" s="5">
        <v>0.82</v>
      </c>
      <c r="G9" s="91" t="s">
        <v>44</v>
      </c>
      <c r="H9" s="92" t="s">
        <v>45</v>
      </c>
      <c r="I9" s="92" t="s">
        <v>46</v>
      </c>
      <c r="J9" s="9"/>
      <c r="K9" s="65"/>
      <c r="L9" s="65"/>
      <c r="M9" s="65"/>
    </row>
    <row r="10" spans="1:14" ht="44.1" customHeight="1">
      <c r="A10" s="11"/>
      <c r="B10" s="92" t="s">
        <v>38</v>
      </c>
      <c r="C10" s="92" t="s">
        <v>47</v>
      </c>
      <c r="D10" s="5">
        <v>0.65</v>
      </c>
      <c r="E10" s="5">
        <v>0.78</v>
      </c>
      <c r="F10" s="5">
        <v>0.85</v>
      </c>
      <c r="G10" s="91" t="s">
        <v>44</v>
      </c>
      <c r="H10" s="92" t="s">
        <v>48</v>
      </c>
      <c r="I10" s="92" t="s">
        <v>49</v>
      </c>
      <c r="J10" s="9"/>
      <c r="K10" s="65"/>
      <c r="L10" s="65"/>
      <c r="M10" s="65"/>
    </row>
    <row r="11" spans="1:14" ht="73.5" customHeight="1">
      <c r="A11" s="11"/>
      <c r="B11" s="92" t="s">
        <v>38</v>
      </c>
      <c r="C11" s="92" t="s">
        <v>50</v>
      </c>
      <c r="D11" s="5">
        <v>0.35</v>
      </c>
      <c r="E11" s="5">
        <v>0.55000000000000004</v>
      </c>
      <c r="F11" s="5">
        <v>0.7</v>
      </c>
      <c r="G11" s="91" t="s">
        <v>44</v>
      </c>
      <c r="H11" s="92" t="s">
        <v>51</v>
      </c>
      <c r="I11" s="92" t="s">
        <v>52</v>
      </c>
      <c r="J11" s="9"/>
      <c r="K11" s="65"/>
      <c r="L11" s="65"/>
      <c r="M11" s="65"/>
    </row>
    <row r="12" spans="1:14" ht="70.5" customHeight="1">
      <c r="A12" s="11"/>
      <c r="B12" s="92" t="s">
        <v>38</v>
      </c>
      <c r="C12" s="92" t="s">
        <v>53</v>
      </c>
      <c r="D12" s="5">
        <v>0.85</v>
      </c>
      <c r="E12" s="5">
        <v>0.93</v>
      </c>
      <c r="F12" s="5">
        <v>0.97</v>
      </c>
      <c r="G12" s="91" t="s">
        <v>44</v>
      </c>
      <c r="H12" s="92" t="s">
        <v>54</v>
      </c>
      <c r="I12" s="92" t="s">
        <v>55</v>
      </c>
      <c r="J12" s="9"/>
      <c r="K12" s="65"/>
      <c r="L12" s="65"/>
      <c r="M12" s="65"/>
    </row>
    <row r="13" spans="1:14" ht="57.95" customHeight="1">
      <c r="A13" s="11"/>
      <c r="B13" s="92" t="s">
        <v>38</v>
      </c>
      <c r="C13" s="92" t="s">
        <v>56</v>
      </c>
      <c r="D13" s="6">
        <v>2</v>
      </c>
      <c r="E13" s="6">
        <v>3</v>
      </c>
      <c r="F13" s="6">
        <v>3.5</v>
      </c>
      <c r="G13" s="91" t="s">
        <v>57</v>
      </c>
      <c r="H13" s="92" t="s">
        <v>58</v>
      </c>
      <c r="I13" s="92" t="s">
        <v>59</v>
      </c>
      <c r="J13" s="9"/>
      <c r="K13" s="65"/>
      <c r="L13" s="65"/>
      <c r="M13" s="65"/>
    </row>
    <row r="14" spans="1:14" ht="57.95" customHeight="1">
      <c r="A14" s="11"/>
      <c r="B14" s="92" t="s">
        <v>60</v>
      </c>
      <c r="C14" s="92" t="s">
        <v>61</v>
      </c>
      <c r="D14" s="7">
        <v>0.25</v>
      </c>
      <c r="E14" s="7">
        <v>0.3</v>
      </c>
      <c r="F14" s="7">
        <v>0.33</v>
      </c>
      <c r="G14" s="91" t="s">
        <v>62</v>
      </c>
      <c r="H14" s="92" t="s">
        <v>63</v>
      </c>
      <c r="I14" s="92" t="s">
        <v>64</v>
      </c>
      <c r="J14" s="9"/>
      <c r="K14" s="65"/>
      <c r="L14" s="65"/>
      <c r="M14" s="65"/>
    </row>
    <row r="15" spans="1:14" ht="44.1" customHeight="1">
      <c r="A15" s="11"/>
      <c r="B15" s="92" t="s">
        <v>60</v>
      </c>
      <c r="C15" s="92" t="s">
        <v>65</v>
      </c>
      <c r="D15" s="5">
        <v>0.28999999999999998</v>
      </c>
      <c r="E15" s="5">
        <v>0.28999999999999998</v>
      </c>
      <c r="F15" s="5">
        <v>0.28999999999999998</v>
      </c>
      <c r="G15" s="91" t="s">
        <v>44</v>
      </c>
      <c r="H15" s="92" t="s">
        <v>66</v>
      </c>
      <c r="I15" s="92" t="s">
        <v>67</v>
      </c>
      <c r="J15" s="9"/>
      <c r="K15" s="65"/>
      <c r="L15" s="65"/>
      <c r="M15" s="65"/>
    </row>
    <row r="16" spans="1:14" ht="54.75" customHeight="1">
      <c r="A16" s="11"/>
      <c r="B16" s="92" t="s">
        <v>60</v>
      </c>
      <c r="C16" s="92" t="s">
        <v>68</v>
      </c>
      <c r="D16" s="5">
        <v>0.59</v>
      </c>
      <c r="E16" s="5">
        <v>0.59</v>
      </c>
      <c r="F16" s="5">
        <v>0.59</v>
      </c>
      <c r="G16" s="91" t="s">
        <v>44</v>
      </c>
      <c r="H16" s="92" t="s">
        <v>69</v>
      </c>
      <c r="I16" s="92" t="s">
        <v>67</v>
      </c>
      <c r="J16" s="9"/>
      <c r="K16" s="65"/>
      <c r="L16" s="65"/>
      <c r="M16" s="65"/>
    </row>
    <row r="17" spans="1:13" ht="66.75" customHeight="1">
      <c r="A17" s="11"/>
      <c r="B17" s="92" t="s">
        <v>70</v>
      </c>
      <c r="C17" s="92" t="s">
        <v>71</v>
      </c>
      <c r="D17" s="4">
        <v>60</v>
      </c>
      <c r="E17" s="4">
        <v>100</v>
      </c>
      <c r="F17" s="4">
        <v>125</v>
      </c>
      <c r="G17" s="91" t="s">
        <v>72</v>
      </c>
      <c r="H17" s="92" t="s">
        <v>73</v>
      </c>
      <c r="I17" s="92" t="s">
        <v>74</v>
      </c>
      <c r="J17" s="9"/>
      <c r="K17" s="65"/>
      <c r="L17" s="65"/>
      <c r="M17" s="65"/>
    </row>
    <row r="18" spans="1:13" ht="72.75" customHeight="1">
      <c r="A18" s="11"/>
      <c r="B18" s="92" t="s">
        <v>70</v>
      </c>
      <c r="C18" s="92" t="s">
        <v>75</v>
      </c>
      <c r="D18" s="8">
        <v>1.4999999999999999E-2</v>
      </c>
      <c r="E18" s="8">
        <v>0.03</v>
      </c>
      <c r="F18" s="8">
        <v>0.04</v>
      </c>
      <c r="G18" s="91" t="s">
        <v>76</v>
      </c>
      <c r="H18" s="92" t="s">
        <v>77</v>
      </c>
      <c r="I18" s="92" t="s">
        <v>78</v>
      </c>
      <c r="J18" s="9"/>
      <c r="K18" s="65"/>
      <c r="L18" s="65"/>
      <c r="M18" s="65"/>
    </row>
    <row r="19" spans="1:13" ht="74.25" customHeight="1">
      <c r="A19" s="11"/>
      <c r="B19" s="92" t="s">
        <v>70</v>
      </c>
      <c r="C19" s="92" t="s">
        <v>79</v>
      </c>
      <c r="D19" s="4">
        <v>500</v>
      </c>
      <c r="E19" s="4">
        <v>1000</v>
      </c>
      <c r="F19" s="4">
        <v>1500</v>
      </c>
      <c r="G19" s="91" t="s">
        <v>80</v>
      </c>
      <c r="H19" s="92" t="s">
        <v>81</v>
      </c>
      <c r="I19" s="92" t="s">
        <v>82</v>
      </c>
      <c r="J19" s="9"/>
      <c r="K19" s="65"/>
      <c r="L19" s="65"/>
      <c r="M19" s="65"/>
    </row>
    <row r="20" spans="1:13" ht="75.75" customHeight="1">
      <c r="A20" s="11"/>
      <c r="B20" s="92" t="s">
        <v>70</v>
      </c>
      <c r="C20" s="92" t="s">
        <v>83</v>
      </c>
      <c r="D20" s="4">
        <v>150</v>
      </c>
      <c r="E20" s="4">
        <v>400</v>
      </c>
      <c r="F20" s="4">
        <v>500</v>
      </c>
      <c r="G20" s="91" t="s">
        <v>72</v>
      </c>
      <c r="H20" s="92" t="s">
        <v>84</v>
      </c>
      <c r="I20" s="92" t="s">
        <v>85</v>
      </c>
      <c r="J20" s="9"/>
      <c r="K20" s="65"/>
      <c r="L20" s="65"/>
      <c r="M20" s="65"/>
    </row>
    <row r="21" spans="1:13" ht="74.25" customHeight="1">
      <c r="A21" s="11"/>
      <c r="B21" s="92" t="s">
        <v>70</v>
      </c>
      <c r="C21" s="92" t="s">
        <v>86</v>
      </c>
      <c r="D21" s="4">
        <v>75</v>
      </c>
      <c r="E21" s="4">
        <v>200</v>
      </c>
      <c r="F21" s="4">
        <v>250</v>
      </c>
      <c r="G21" s="91" t="s">
        <v>72</v>
      </c>
      <c r="H21" s="92" t="s">
        <v>87</v>
      </c>
      <c r="I21" s="92" t="s">
        <v>85</v>
      </c>
      <c r="J21" s="9"/>
      <c r="K21" s="65"/>
      <c r="L21" s="65"/>
      <c r="M21" s="65"/>
    </row>
    <row r="22" spans="1:13" ht="73.5" customHeight="1">
      <c r="A22" s="11"/>
      <c r="B22" s="92" t="s">
        <v>70</v>
      </c>
      <c r="C22" s="92" t="s">
        <v>88</v>
      </c>
      <c r="D22" s="4">
        <v>10</v>
      </c>
      <c r="E22" s="4">
        <v>25</v>
      </c>
      <c r="F22" s="4">
        <v>35</v>
      </c>
      <c r="G22" s="91" t="s">
        <v>89</v>
      </c>
      <c r="H22" s="92" t="s">
        <v>90</v>
      </c>
      <c r="I22" s="92" t="s">
        <v>91</v>
      </c>
      <c r="J22" s="9"/>
      <c r="K22" s="65"/>
      <c r="L22" s="65"/>
      <c r="M22" s="65"/>
    </row>
    <row r="23" spans="1:13" ht="60" customHeight="1">
      <c r="A23" s="11"/>
      <c r="B23" s="92" t="s">
        <v>92</v>
      </c>
      <c r="C23" s="92" t="s">
        <v>242</v>
      </c>
      <c r="D23" s="4">
        <v>8</v>
      </c>
      <c r="E23" s="4">
        <v>5</v>
      </c>
      <c r="F23" s="4">
        <v>3</v>
      </c>
      <c r="G23" s="91" t="s">
        <v>93</v>
      </c>
      <c r="H23" s="92" t="s">
        <v>243</v>
      </c>
      <c r="I23" s="92" t="s">
        <v>94</v>
      </c>
      <c r="J23" s="9"/>
      <c r="K23" s="65"/>
      <c r="L23" s="65"/>
      <c r="M23" s="65"/>
    </row>
    <row r="24" spans="1:13" ht="64.5" customHeight="1">
      <c r="A24" s="11"/>
      <c r="B24" s="92" t="s">
        <v>92</v>
      </c>
      <c r="C24" s="92" t="s">
        <v>95</v>
      </c>
      <c r="D24" s="5">
        <v>0.3</v>
      </c>
      <c r="E24" s="5">
        <v>0.15</v>
      </c>
      <c r="F24" s="5">
        <v>0.1</v>
      </c>
      <c r="G24" s="91" t="s">
        <v>44</v>
      </c>
      <c r="H24" s="92" t="s">
        <v>96</v>
      </c>
      <c r="I24" s="92" t="s">
        <v>97</v>
      </c>
      <c r="J24" s="9"/>
      <c r="K24" s="65"/>
      <c r="L24" s="65"/>
      <c r="M24" s="65"/>
    </row>
    <row r="25" spans="1:13" ht="57.95" customHeight="1">
      <c r="A25" s="11"/>
      <c r="B25" s="92" t="s">
        <v>92</v>
      </c>
      <c r="C25" s="92" t="s">
        <v>98</v>
      </c>
      <c r="D25" s="5">
        <v>0.2</v>
      </c>
      <c r="E25" s="5">
        <v>0.1</v>
      </c>
      <c r="F25" s="5">
        <v>0.05</v>
      </c>
      <c r="G25" s="91" t="s">
        <v>44</v>
      </c>
      <c r="H25" s="92" t="s">
        <v>99</v>
      </c>
      <c r="I25" s="92" t="s">
        <v>100</v>
      </c>
      <c r="J25" s="9"/>
      <c r="K25" s="65"/>
      <c r="L25" s="65"/>
      <c r="M25" s="65"/>
    </row>
    <row r="26" spans="1:13" ht="36" customHeight="1">
      <c r="A26" s="11"/>
      <c r="B26" s="149" t="s">
        <v>101</v>
      </c>
      <c r="C26" s="149"/>
      <c r="D26" s="149"/>
      <c r="E26" s="149"/>
      <c r="F26" s="149"/>
      <c r="G26" s="149"/>
      <c r="H26" s="149"/>
      <c r="I26" s="149"/>
      <c r="J26" s="9"/>
      <c r="K26" s="65"/>
      <c r="L26" s="65"/>
      <c r="M26" s="65"/>
    </row>
    <row r="27" spans="1:13" ht="42" customHeight="1">
      <c r="A27" s="11"/>
      <c r="B27" s="88" t="s">
        <v>102</v>
      </c>
      <c r="C27" s="3" t="s">
        <v>30</v>
      </c>
      <c r="D27" s="141" t="s">
        <v>103</v>
      </c>
      <c r="E27" s="142"/>
      <c r="F27" s="143"/>
      <c r="G27" s="143"/>
      <c r="H27" s="143"/>
      <c r="I27" s="144"/>
      <c r="J27" s="9"/>
      <c r="K27" s="65"/>
      <c r="L27" s="65"/>
      <c r="M27" s="65"/>
    </row>
    <row r="28" spans="1:13" ht="57" customHeight="1">
      <c r="A28" s="11"/>
      <c r="B28" s="88" t="s">
        <v>104</v>
      </c>
      <c r="C28" s="3" t="s">
        <v>30</v>
      </c>
      <c r="D28" s="141" t="s">
        <v>105</v>
      </c>
      <c r="E28" s="142"/>
      <c r="F28" s="143"/>
      <c r="G28" s="145"/>
      <c r="H28" s="145"/>
      <c r="I28" s="141"/>
      <c r="J28" s="9"/>
      <c r="K28" s="65"/>
      <c r="L28" s="65"/>
      <c r="M28" s="65"/>
    </row>
    <row r="29" spans="1:13" ht="42" customHeight="1">
      <c r="A29" s="11"/>
      <c r="B29" s="88" t="s">
        <v>106</v>
      </c>
      <c r="C29" s="3" t="s">
        <v>30</v>
      </c>
      <c r="D29" s="141" t="s">
        <v>107</v>
      </c>
      <c r="E29" s="142"/>
      <c r="F29" s="143"/>
      <c r="G29" s="145"/>
      <c r="H29" s="145"/>
      <c r="I29" s="141"/>
      <c r="J29" s="9"/>
      <c r="K29" s="65"/>
      <c r="L29" s="65"/>
      <c r="M29" s="65"/>
    </row>
    <row r="30" spans="1:13" ht="18">
      <c r="A30" s="11"/>
      <c r="B30" s="75"/>
      <c r="C30" s="75"/>
      <c r="D30" s="75"/>
      <c r="E30" s="75"/>
      <c r="F30" s="75"/>
      <c r="G30" s="75"/>
      <c r="H30" s="75"/>
      <c r="I30" s="75"/>
      <c r="J30" s="9"/>
      <c r="K30" s="65"/>
      <c r="L30" s="65"/>
      <c r="M30" s="65"/>
    </row>
    <row r="31" spans="1:13" ht="24" customHeight="1">
      <c r="A31" s="11"/>
      <c r="B31" s="153" t="s">
        <v>244</v>
      </c>
      <c r="C31" s="153"/>
      <c r="D31" s="153"/>
      <c r="E31" s="153"/>
      <c r="F31" s="153"/>
      <c r="G31" s="153"/>
      <c r="H31" s="153"/>
      <c r="I31" s="153"/>
      <c r="J31" s="9"/>
      <c r="K31" s="65"/>
      <c r="L31" s="65"/>
      <c r="M31" s="65"/>
    </row>
    <row r="32" spans="1:13" ht="62.25" customHeight="1">
      <c r="B32" s="165" t="s">
        <v>38</v>
      </c>
      <c r="C32" s="165" t="s">
        <v>245</v>
      </c>
      <c r="D32" s="166">
        <f>IF(D8&gt;0,D7/D8,0)</f>
        <v>45.454545454545453</v>
      </c>
      <c r="E32" s="166">
        <f>IF(E8&gt;0,E7/E8,0)</f>
        <v>35.714285714285715</v>
      </c>
      <c r="F32" s="166">
        <f>IF(F8&gt;0,F7/F8,0)</f>
        <v>30.303030303030305</v>
      </c>
      <c r="G32" s="165" t="s">
        <v>246</v>
      </c>
      <c r="H32" s="167" t="s">
        <v>247</v>
      </c>
      <c r="I32" s="165" t="s">
        <v>248</v>
      </c>
      <c r="J32" s="65"/>
      <c r="K32" s="65"/>
      <c r="L32" s="65"/>
      <c r="M32" s="65"/>
    </row>
    <row r="33" spans="2:9" ht="59.25" customHeight="1">
      <c r="B33" s="165" t="s">
        <v>60</v>
      </c>
      <c r="C33" s="165" t="s">
        <v>249</v>
      </c>
      <c r="D33" s="168" t="str">
        <f>IF(D15+D16&lt;=1,"OK","ERROR: shares exceed 100%")</f>
        <v>OK</v>
      </c>
      <c r="E33" s="168" t="str">
        <f>IF(E15+E16&lt;=1,"OK","ERROR: shares exceed 100%")</f>
        <v>OK</v>
      </c>
      <c r="F33" s="168" t="str">
        <f>IF(F15+F16&lt;=1,"OK","ERROR: shares exceed 100%")</f>
        <v>OK</v>
      </c>
      <c r="G33" s="165" t="s">
        <v>250</v>
      </c>
      <c r="H33" s="167" t="s">
        <v>251</v>
      </c>
      <c r="I33" s="165" t="s">
        <v>252</v>
      </c>
    </row>
  </sheetData>
  <mergeCells count="10">
    <mergeCell ref="B31:I31"/>
    <mergeCell ref="D27:I27"/>
    <mergeCell ref="D28:I28"/>
    <mergeCell ref="D29:I29"/>
    <mergeCell ref="B3:E3"/>
    <mergeCell ref="B2:I2"/>
    <mergeCell ref="B5:I5"/>
    <mergeCell ref="B26:I26"/>
    <mergeCell ref="D4:E4"/>
    <mergeCell ref="G4:H4"/>
  </mergeCells>
  <conditionalFormatting sqref="D33:F33">
    <cfRule type="expression" dxfId="12" priority="1">
      <formula>D33="OK"</formula>
    </cfRule>
    <cfRule type="expression" dxfId="11" priority="2">
      <formula>D33&lt;&gt;"OK"</formula>
    </cfRule>
  </conditionalFormatting>
  <dataValidations count="2">
    <dataValidation type="list" sqref="C4" xr:uid="{00000000-0002-0000-0100-000000000000}">
      <formula1>"Conservative,Base,Optimistic"</formula1>
    </dataValidation>
    <dataValidation type="list" sqref="F4 C27:C29" xr:uid="{00000000-0002-0000-0100-000001000000}">
      <formula1>"Yes,No"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workbookViewId="0"/>
  </sheetViews>
  <sheetFormatPr defaultRowHeight="14.25"/>
  <cols>
    <col min="1" max="1" width="9" style="66"/>
    <col min="2" max="2" width="40.125" style="66" customWidth="1"/>
    <col min="3" max="3" width="56.75" style="66" customWidth="1"/>
    <col min="4" max="6" width="16" style="66" customWidth="1"/>
    <col min="7" max="7" width="18" style="66" customWidth="1"/>
    <col min="8" max="16384" width="9" style="66"/>
  </cols>
  <sheetData>
    <row r="1" spans="1:13" ht="33.75" customHeight="1">
      <c r="A1" s="11"/>
      <c r="B1" s="11"/>
      <c r="C1" s="11"/>
      <c r="D1" s="11"/>
      <c r="E1" s="11"/>
      <c r="F1" s="11"/>
      <c r="G1" s="11"/>
      <c r="H1" s="11"/>
    </row>
    <row r="2" spans="1:13" ht="71.25" customHeight="1">
      <c r="A2" s="11"/>
      <c r="B2" s="154" t="s">
        <v>108</v>
      </c>
      <c r="C2" s="154"/>
      <c r="D2" s="154"/>
      <c r="E2" s="154"/>
      <c r="F2" s="154"/>
      <c r="G2" s="154"/>
      <c r="H2" s="9"/>
      <c r="I2" s="65"/>
      <c r="J2" s="65"/>
      <c r="K2" s="65"/>
      <c r="L2" s="65"/>
      <c r="M2" s="65"/>
    </row>
    <row r="3" spans="1:13" ht="30" customHeight="1">
      <c r="A3" s="11"/>
      <c r="B3" s="122" t="s">
        <v>109</v>
      </c>
      <c r="C3" s="122"/>
      <c r="D3" s="122"/>
      <c r="E3" s="70"/>
      <c r="F3" s="70"/>
      <c r="G3" s="70"/>
      <c r="H3" s="10"/>
      <c r="I3" s="67"/>
      <c r="J3" s="67"/>
      <c r="K3" s="67"/>
      <c r="L3" s="67"/>
      <c r="M3" s="67"/>
    </row>
    <row r="4" spans="1:13" ht="30" customHeight="1">
      <c r="A4" s="11"/>
      <c r="B4" s="95"/>
      <c r="C4" s="95"/>
      <c r="D4" s="95"/>
      <c r="E4" s="96"/>
      <c r="F4" s="96"/>
      <c r="G4" s="96"/>
      <c r="H4" s="10"/>
      <c r="I4" s="67"/>
      <c r="J4" s="67"/>
      <c r="K4" s="67"/>
      <c r="L4" s="67"/>
      <c r="M4" s="67"/>
    </row>
    <row r="5" spans="1:13" ht="27.95" customHeight="1">
      <c r="A5" s="11"/>
      <c r="B5" s="26" t="s">
        <v>17</v>
      </c>
      <c r="C5" s="64" t="s">
        <v>110</v>
      </c>
      <c r="D5" s="26" t="s">
        <v>18</v>
      </c>
      <c r="E5" s="26" t="s">
        <v>19</v>
      </c>
      <c r="F5" s="26" t="s">
        <v>20</v>
      </c>
      <c r="G5" s="26" t="s">
        <v>35</v>
      </c>
      <c r="H5" s="9"/>
      <c r="I5" s="65"/>
      <c r="J5" s="65"/>
      <c r="K5" s="65"/>
      <c r="L5" s="65"/>
      <c r="M5" s="65"/>
    </row>
    <row r="6" spans="1:13" ht="18">
      <c r="A6" s="11"/>
      <c r="B6" s="63" t="s">
        <v>111</v>
      </c>
      <c r="C6" s="61"/>
      <c r="D6" s="62"/>
      <c r="E6" s="62"/>
      <c r="F6" s="62"/>
      <c r="G6" s="61"/>
      <c r="H6" s="9"/>
      <c r="I6" s="65"/>
      <c r="J6" s="65"/>
      <c r="K6" s="65"/>
      <c r="L6" s="65"/>
      <c r="M6" s="65"/>
    </row>
    <row r="7" spans="1:13" ht="18">
      <c r="A7" s="11"/>
      <c r="B7" s="27" t="s">
        <v>112</v>
      </c>
      <c r="C7" s="25" t="s">
        <v>113</v>
      </c>
      <c r="D7" s="28">
        <f>'Inputs &amp; Guidance'!D7</f>
        <v>100000</v>
      </c>
      <c r="E7" s="28">
        <f>'Inputs &amp; Guidance'!E7</f>
        <v>100000</v>
      </c>
      <c r="F7" s="28">
        <f>'Inputs &amp; Guidance'!F7</f>
        <v>100000</v>
      </c>
      <c r="G7" s="29" t="s">
        <v>40</v>
      </c>
      <c r="H7" s="9"/>
      <c r="I7" s="65"/>
      <c r="J7" s="65"/>
      <c r="K7" s="65"/>
      <c r="L7" s="65"/>
      <c r="M7" s="65"/>
    </row>
    <row r="8" spans="1:13" ht="18">
      <c r="A8" s="11"/>
      <c r="B8" s="27" t="s">
        <v>114</v>
      </c>
      <c r="C8" s="25" t="s">
        <v>253</v>
      </c>
      <c r="D8" s="106">
        <f>'Inputs &amp; Guidance'!D8</f>
        <v>2200</v>
      </c>
      <c r="E8" s="106">
        <f>'Inputs &amp; Guidance'!E8</f>
        <v>2800</v>
      </c>
      <c r="F8" s="106">
        <f>'Inputs &amp; Guidance'!F8</f>
        <v>3300</v>
      </c>
      <c r="G8" s="29" t="s">
        <v>115</v>
      </c>
      <c r="H8" s="9"/>
      <c r="I8" s="65"/>
      <c r="J8" s="65"/>
      <c r="K8" s="65"/>
      <c r="L8" s="65"/>
      <c r="M8" s="65"/>
    </row>
    <row r="9" spans="1:13" ht="18">
      <c r="A9" s="11"/>
      <c r="B9" s="27" t="s">
        <v>116</v>
      </c>
      <c r="C9" s="25" t="s">
        <v>117</v>
      </c>
      <c r="D9" s="30">
        <f>D8*'Inputs &amp; Guidance'!D9*'Inputs &amp; Guidance'!D10*'Inputs &amp; Guidance'!D12</f>
        <v>729.3</v>
      </c>
      <c r="E9" s="30">
        <f>E8*'Inputs &amp; Guidance'!E9*'Inputs &amp; Guidance'!E10*'Inputs &amp; Guidance'!E12</f>
        <v>1523.3400000000001</v>
      </c>
      <c r="F9" s="30">
        <f>F8*'Inputs &amp; Guidance'!F9*'Inputs &amp; Guidance'!F10*'Inputs &amp; Guidance'!F12</f>
        <v>2231.0969999999998</v>
      </c>
      <c r="G9" s="29" t="s">
        <v>115</v>
      </c>
      <c r="H9" s="9"/>
      <c r="I9" s="65"/>
      <c r="J9" s="65"/>
      <c r="K9" s="65"/>
      <c r="L9" s="65"/>
      <c r="M9" s="65"/>
    </row>
    <row r="10" spans="1:13" ht="18">
      <c r="A10" s="11"/>
      <c r="B10" s="27" t="s">
        <v>5</v>
      </c>
      <c r="C10" s="25" t="s">
        <v>118</v>
      </c>
      <c r="D10" s="30">
        <f>D9*'Inputs &amp; Guidance'!D13*'Inputs &amp; Guidance'!D11</f>
        <v>510.50999999999993</v>
      </c>
      <c r="E10" s="30">
        <f>E9*'Inputs &amp; Guidance'!E13*'Inputs &amp; Guidance'!E11</f>
        <v>2513.5110000000004</v>
      </c>
      <c r="F10" s="30">
        <f>F9*'Inputs &amp; Guidance'!F13*'Inputs &amp; Guidance'!F11</f>
        <v>5466.1876499999989</v>
      </c>
      <c r="G10" s="29" t="s">
        <v>119</v>
      </c>
      <c r="H10" s="9"/>
      <c r="I10" s="65"/>
      <c r="J10" s="65"/>
      <c r="K10" s="65"/>
      <c r="L10" s="65"/>
      <c r="M10" s="65"/>
    </row>
    <row r="11" spans="1:13" ht="18">
      <c r="A11" s="11"/>
      <c r="B11" s="27" t="s">
        <v>4</v>
      </c>
      <c r="C11" s="25" t="s">
        <v>120</v>
      </c>
      <c r="D11" s="30">
        <f>D10*'Inputs &amp; Guidance'!D14</f>
        <v>127.62749999999998</v>
      </c>
      <c r="E11" s="30">
        <f>E10*'Inputs &amp; Guidance'!E14</f>
        <v>754.05330000000015</v>
      </c>
      <c r="F11" s="30">
        <f>F10*'Inputs &amp; Guidance'!F14</f>
        <v>1803.8419244999998</v>
      </c>
      <c r="G11" s="29" t="s">
        <v>121</v>
      </c>
      <c r="H11" s="9"/>
      <c r="I11" s="65"/>
      <c r="J11" s="65"/>
      <c r="K11" s="65"/>
      <c r="L11" s="65"/>
      <c r="M11" s="65"/>
    </row>
    <row r="12" spans="1:13" ht="18">
      <c r="A12" s="11"/>
      <c r="B12" s="27" t="s">
        <v>122</v>
      </c>
      <c r="C12" s="25" t="s">
        <v>123</v>
      </c>
      <c r="D12" s="30">
        <f>D11*'Inputs &amp; Guidance'!D15</f>
        <v>37.011974999999993</v>
      </c>
      <c r="E12" s="30">
        <f>E11*'Inputs &amp; Guidance'!E15</f>
        <v>218.67545700000002</v>
      </c>
      <c r="F12" s="30">
        <f>F11*'Inputs &amp; Guidance'!F15</f>
        <v>523.11415810499989</v>
      </c>
      <c r="G12" s="29" t="s">
        <v>124</v>
      </c>
      <c r="H12" s="9"/>
      <c r="I12" s="65"/>
      <c r="J12" s="65"/>
      <c r="K12" s="65"/>
      <c r="L12" s="65"/>
      <c r="M12" s="65"/>
    </row>
    <row r="13" spans="1:13" ht="18">
      <c r="A13" s="11"/>
      <c r="B13" s="27" t="s">
        <v>125</v>
      </c>
      <c r="C13" s="25" t="s">
        <v>126</v>
      </c>
      <c r="D13" s="30">
        <f>D11*'Inputs &amp; Guidance'!D16</f>
        <v>75.300224999999983</v>
      </c>
      <c r="E13" s="30">
        <f>E11*'Inputs &amp; Guidance'!E16</f>
        <v>444.89144700000008</v>
      </c>
      <c r="F13" s="30">
        <f>F11*'Inputs &amp; Guidance'!F16</f>
        <v>1064.2667354549999</v>
      </c>
      <c r="G13" s="29" t="s">
        <v>127</v>
      </c>
      <c r="H13" s="9"/>
      <c r="I13" s="65"/>
      <c r="J13" s="65"/>
      <c r="K13" s="65"/>
      <c r="L13" s="65"/>
      <c r="M13" s="65"/>
    </row>
    <row r="14" spans="1:13" ht="18">
      <c r="A14" s="11"/>
      <c r="B14" s="31" t="s">
        <v>128</v>
      </c>
      <c r="C14" s="32" t="s">
        <v>129</v>
      </c>
      <c r="D14" s="33">
        <f>D11-D12-D13</f>
        <v>15.315300000000008</v>
      </c>
      <c r="E14" s="33">
        <f>E11-E12-E13</f>
        <v>90.486396000000013</v>
      </c>
      <c r="F14" s="33">
        <f>F11-F12-F13</f>
        <v>216.46103094</v>
      </c>
      <c r="G14" s="34" t="s">
        <v>130</v>
      </c>
      <c r="H14" s="9"/>
      <c r="I14" s="65"/>
      <c r="J14" s="65"/>
      <c r="K14" s="65"/>
      <c r="L14" s="65"/>
      <c r="M14" s="65"/>
    </row>
    <row r="15" spans="1:13" ht="18">
      <c r="A15" s="11"/>
      <c r="B15" s="63" t="s">
        <v>131</v>
      </c>
      <c r="C15" s="61"/>
      <c r="D15" s="62"/>
      <c r="E15" s="62"/>
      <c r="F15" s="62"/>
      <c r="G15" s="61"/>
      <c r="H15" s="9"/>
      <c r="I15" s="65"/>
      <c r="J15" s="65"/>
      <c r="K15" s="65"/>
      <c r="L15" s="65"/>
      <c r="M15" s="65"/>
    </row>
    <row r="16" spans="1:13" ht="18">
      <c r="A16" s="11"/>
      <c r="B16" s="27" t="s">
        <v>132</v>
      </c>
      <c r="C16" s="25" t="s">
        <v>133</v>
      </c>
      <c r="D16" s="28">
        <f>D11*'Inputs &amp; Guidance'!D17</f>
        <v>7657.6499999999987</v>
      </c>
      <c r="E16" s="28">
        <f>E11*'Inputs &amp; Guidance'!E17</f>
        <v>75405.330000000016</v>
      </c>
      <c r="F16" s="28">
        <f>F11*'Inputs &amp; Guidance'!F17</f>
        <v>225480.24056249997</v>
      </c>
      <c r="G16" s="29" t="s">
        <v>40</v>
      </c>
      <c r="H16" s="9"/>
      <c r="I16" s="65"/>
      <c r="J16" s="65"/>
      <c r="K16" s="65"/>
      <c r="L16" s="65"/>
      <c r="M16" s="65"/>
    </row>
    <row r="17" spans="1:13" ht="18">
      <c r="A17" s="11"/>
      <c r="B17" s="27" t="s">
        <v>134</v>
      </c>
      <c r="C17" s="25" t="s">
        <v>135</v>
      </c>
      <c r="D17" s="28">
        <f>D11*'Inputs &amp; Guidance'!D18*'Inputs &amp; Guidance'!D19</f>
        <v>957.20624999999984</v>
      </c>
      <c r="E17" s="28">
        <f>E11*'Inputs &amp; Guidance'!E18*'Inputs &amp; Guidance'!E19</f>
        <v>22621.599000000002</v>
      </c>
      <c r="F17" s="28">
        <f>F11*'Inputs &amp; Guidance'!F18*'Inputs &amp; Guidance'!F19</f>
        <v>108230.51546999998</v>
      </c>
      <c r="G17" s="29" t="s">
        <v>40</v>
      </c>
      <c r="H17" s="9"/>
      <c r="I17" s="65"/>
      <c r="J17" s="65"/>
      <c r="K17" s="65"/>
      <c r="L17" s="65"/>
      <c r="M17" s="65"/>
    </row>
    <row r="18" spans="1:13" ht="18">
      <c r="A18" s="11"/>
      <c r="B18" s="27" t="s">
        <v>136</v>
      </c>
      <c r="C18" s="25" t="s">
        <v>137</v>
      </c>
      <c r="D18" s="28">
        <f>IF('Inputs &amp; Guidance'!$C$27="Yes",D11*'Inputs &amp; Guidance'!D20,0)</f>
        <v>19144.124999999996</v>
      </c>
      <c r="E18" s="28">
        <f>IF('Inputs &amp; Guidance'!$C$27="Yes",E11*'Inputs &amp; Guidance'!E20,0)</f>
        <v>301621.32000000007</v>
      </c>
      <c r="F18" s="28">
        <f>IF('Inputs &amp; Guidance'!$C$27="Yes",F11*'Inputs &amp; Guidance'!F20,0)</f>
        <v>901920.96224999987</v>
      </c>
      <c r="G18" s="29" t="s">
        <v>40</v>
      </c>
      <c r="H18" s="9"/>
      <c r="I18" s="65"/>
      <c r="J18" s="65"/>
      <c r="K18" s="65"/>
      <c r="L18" s="65"/>
      <c r="M18" s="65"/>
    </row>
    <row r="19" spans="1:13" ht="18">
      <c r="A19" s="11"/>
      <c r="B19" s="27" t="s">
        <v>138</v>
      </c>
      <c r="C19" s="25" t="s">
        <v>137</v>
      </c>
      <c r="D19" s="28">
        <f>IF('Inputs &amp; Guidance'!$C$28="Yes",D11*'Inputs &amp; Guidance'!D21,0)</f>
        <v>9572.0624999999982</v>
      </c>
      <c r="E19" s="28">
        <f>IF('Inputs &amp; Guidance'!$C$28="Yes",E11*'Inputs &amp; Guidance'!E21,0)</f>
        <v>150810.66000000003</v>
      </c>
      <c r="F19" s="28">
        <f>IF('Inputs &amp; Guidance'!$C$28="Yes",F11*'Inputs &amp; Guidance'!F21,0)</f>
        <v>450960.48112499993</v>
      </c>
      <c r="G19" s="29" t="s">
        <v>40</v>
      </c>
      <c r="H19" s="9"/>
      <c r="I19" s="65"/>
      <c r="J19" s="65"/>
      <c r="K19" s="65"/>
      <c r="L19" s="65"/>
      <c r="M19" s="65"/>
    </row>
    <row r="20" spans="1:13" ht="18">
      <c r="A20" s="11"/>
      <c r="B20" s="27" t="s">
        <v>139</v>
      </c>
      <c r="C20" s="25" t="s">
        <v>140</v>
      </c>
      <c r="D20" s="28">
        <f>IF('Inputs &amp; Guidance'!$C$29="Yes",D10*'Inputs &amp; Guidance'!D22,0)</f>
        <v>5105.0999999999995</v>
      </c>
      <c r="E20" s="28">
        <f>IF('Inputs &amp; Guidance'!$C$29="Yes",E10*'Inputs &amp; Guidance'!E22,0)</f>
        <v>62837.775000000009</v>
      </c>
      <c r="F20" s="28">
        <f>IF('Inputs &amp; Guidance'!$C$29="Yes",F10*'Inputs &amp; Guidance'!F22,0)</f>
        <v>191316.56774999996</v>
      </c>
      <c r="G20" s="29" t="s">
        <v>40</v>
      </c>
      <c r="H20" s="9"/>
      <c r="I20" s="65"/>
      <c r="J20" s="65"/>
      <c r="K20" s="65"/>
      <c r="L20" s="65"/>
      <c r="M20" s="65"/>
    </row>
    <row r="21" spans="1:13" ht="18">
      <c r="A21" s="11"/>
      <c r="B21" s="27" t="s">
        <v>141</v>
      </c>
      <c r="C21" s="25" t="s">
        <v>142</v>
      </c>
      <c r="D21" s="28">
        <f>SUM(D16:D20)</f>
        <v>42436.143749999996</v>
      </c>
      <c r="E21" s="28">
        <f>SUM(E16:E20)</f>
        <v>613296.68400000012</v>
      </c>
      <c r="F21" s="28">
        <f>SUM(F16:F20)</f>
        <v>1877908.7671574997</v>
      </c>
      <c r="G21" s="29" t="s">
        <v>40</v>
      </c>
      <c r="H21" s="9"/>
      <c r="I21" s="65"/>
      <c r="J21" s="65"/>
      <c r="K21" s="65"/>
      <c r="L21" s="65"/>
      <c r="M21" s="65"/>
    </row>
    <row r="22" spans="1:13" ht="18">
      <c r="A22" s="11"/>
      <c r="B22" s="27" t="s">
        <v>143</v>
      </c>
      <c r="C22" s="25" t="s">
        <v>144</v>
      </c>
      <c r="D22" s="28">
        <f>-SUM(D18:D20)*'Inputs &amp; Guidance'!D24</f>
        <v>-10146.386249999998</v>
      </c>
      <c r="E22" s="28">
        <f>-SUM(E18:E20)*'Inputs &amp; Guidance'!E24</f>
        <v>-77290.463250000015</v>
      </c>
      <c r="F22" s="28">
        <f>-SUM(F18:F20)*'Inputs &amp; Guidance'!F24</f>
        <v>-154419.80111249999</v>
      </c>
      <c r="G22" s="29" t="s">
        <v>40</v>
      </c>
      <c r="H22" s="9"/>
      <c r="I22" s="65"/>
      <c r="J22" s="65"/>
      <c r="K22" s="65"/>
      <c r="L22" s="65"/>
      <c r="M22" s="65"/>
    </row>
    <row r="23" spans="1:13" ht="36">
      <c r="A23" s="11"/>
      <c r="B23" s="27" t="s">
        <v>145</v>
      </c>
      <c r="C23" s="25" t="s">
        <v>146</v>
      </c>
      <c r="D23" s="28">
        <f>-(D21+D22)*'Inputs &amp; Guidance'!D25</f>
        <v>-6457.9515000000001</v>
      </c>
      <c r="E23" s="28">
        <f>-(E21+E22)*'Inputs &amp; Guidance'!E25</f>
        <v>-53600.622075000014</v>
      </c>
      <c r="F23" s="28">
        <f>-(F21+F22)*'Inputs &amp; Guidance'!F25</f>
        <v>-86174.448302249992</v>
      </c>
      <c r="G23" s="29" t="s">
        <v>40</v>
      </c>
      <c r="H23" s="9"/>
      <c r="I23" s="65"/>
      <c r="J23" s="65"/>
      <c r="K23" s="65"/>
      <c r="L23" s="65"/>
      <c r="M23" s="65"/>
    </row>
    <row r="24" spans="1:13" ht="36">
      <c r="A24" s="11"/>
      <c r="B24" s="40" t="s">
        <v>147</v>
      </c>
      <c r="C24" s="41" t="s">
        <v>254</v>
      </c>
      <c r="D24" s="42">
        <f>-D8*'Inputs &amp; Guidance'!D9*'Inputs &amp; Guidance'!D12*'Inputs &amp; Guidance'!D23</f>
        <v>-8976</v>
      </c>
      <c r="E24" s="42">
        <f>-E8*'Inputs &amp; Guidance'!E9*'Inputs &amp; Guidance'!E12*'Inputs &amp; Guidance'!E23</f>
        <v>-9765</v>
      </c>
      <c r="F24" s="42">
        <f>-F8*'Inputs &amp; Guidance'!F9*'Inputs &amp; Guidance'!F12*'Inputs &amp; Guidance'!F23</f>
        <v>-7874.4599999999991</v>
      </c>
      <c r="G24" s="43" t="s">
        <v>40</v>
      </c>
      <c r="H24" s="9"/>
      <c r="I24" s="65"/>
      <c r="J24" s="65"/>
      <c r="K24" s="65"/>
      <c r="L24" s="65"/>
      <c r="M24" s="65"/>
    </row>
    <row r="25" spans="1:13" ht="18">
      <c r="A25" s="11"/>
      <c r="B25" s="50" t="s">
        <v>15</v>
      </c>
      <c r="C25" s="51" t="s">
        <v>148</v>
      </c>
      <c r="D25" s="35">
        <f>SUM(D21:D24)</f>
        <v>16855.806</v>
      </c>
      <c r="E25" s="35">
        <f>SUM(E21:E24)</f>
        <v>472640.59867500007</v>
      </c>
      <c r="F25" s="35">
        <f>SUM(F21:F24)</f>
        <v>1629440.0577427498</v>
      </c>
      <c r="G25" s="44" t="s">
        <v>40</v>
      </c>
      <c r="H25" s="9"/>
      <c r="I25" s="65"/>
      <c r="J25" s="65"/>
      <c r="K25" s="65"/>
      <c r="L25" s="65"/>
      <c r="M25" s="65"/>
    </row>
    <row r="26" spans="1:13" ht="18">
      <c r="A26" s="11"/>
      <c r="B26" s="52" t="s">
        <v>149</v>
      </c>
      <c r="C26" s="53" t="s">
        <v>150</v>
      </c>
      <c r="D26" s="36">
        <f>-D7</f>
        <v>-100000</v>
      </c>
      <c r="E26" s="36">
        <f>-E7</f>
        <v>-100000</v>
      </c>
      <c r="F26" s="36">
        <f>-F7</f>
        <v>-100000</v>
      </c>
      <c r="G26" s="45" t="s">
        <v>40</v>
      </c>
      <c r="H26" s="9"/>
      <c r="I26" s="65"/>
      <c r="J26" s="65"/>
      <c r="K26" s="65"/>
      <c r="L26" s="65"/>
      <c r="M26" s="65"/>
    </row>
    <row r="27" spans="1:13" ht="18">
      <c r="A27" s="11"/>
      <c r="B27" s="54" t="s">
        <v>151</v>
      </c>
      <c r="C27" s="55" t="s">
        <v>152</v>
      </c>
      <c r="D27" s="37">
        <f>SUM(D25:D26)</f>
        <v>-83144.194000000003</v>
      </c>
      <c r="E27" s="37">
        <f>SUM(E25:E26)</f>
        <v>372640.59867500007</v>
      </c>
      <c r="F27" s="37">
        <f>SUM(F25:F26)</f>
        <v>1529440.0577427498</v>
      </c>
      <c r="G27" s="46" t="s">
        <v>40</v>
      </c>
      <c r="H27" s="9"/>
      <c r="I27" s="65"/>
      <c r="J27" s="65"/>
      <c r="K27" s="65"/>
      <c r="L27" s="65"/>
      <c r="M27" s="65"/>
    </row>
    <row r="28" spans="1:13" ht="18">
      <c r="A28" s="11"/>
      <c r="B28" s="52" t="s">
        <v>153</v>
      </c>
      <c r="C28" s="56" t="s">
        <v>154</v>
      </c>
      <c r="D28" s="38">
        <f>IF(D7&gt;0,D25/D7,0)</f>
        <v>0.16855806000000001</v>
      </c>
      <c r="E28" s="38">
        <f>IF(E7&gt;0,E25/E7,0)</f>
        <v>4.7264059867500006</v>
      </c>
      <c r="F28" s="38">
        <f>IF(F7&gt;0,F25/F7,0)</f>
        <v>16.294400577427499</v>
      </c>
      <c r="G28" s="47" t="s">
        <v>155</v>
      </c>
      <c r="H28" s="9"/>
      <c r="I28" s="65"/>
      <c r="J28" s="65"/>
      <c r="K28" s="65"/>
      <c r="L28" s="65"/>
      <c r="M28" s="65"/>
    </row>
    <row r="29" spans="1:13" ht="18">
      <c r="A29" s="11"/>
      <c r="B29" s="57" t="s">
        <v>156</v>
      </c>
      <c r="C29" s="58" t="s">
        <v>157</v>
      </c>
      <c r="D29" s="39">
        <f>IF(D7&gt;0,D27/D7,0)</f>
        <v>-0.83144194000000005</v>
      </c>
      <c r="E29" s="39">
        <f>IF(E7&gt;0,E27/E7,0)</f>
        <v>3.7264059867500006</v>
      </c>
      <c r="F29" s="39">
        <f>IF(F7&gt;0,F27/F7,0)</f>
        <v>15.294400577427497</v>
      </c>
      <c r="G29" s="48" t="s">
        <v>155</v>
      </c>
      <c r="H29" s="9"/>
      <c r="I29" s="65"/>
      <c r="J29" s="65"/>
      <c r="K29" s="65"/>
      <c r="L29" s="65"/>
      <c r="M29" s="65"/>
    </row>
    <row r="30" spans="1:13" ht="18">
      <c r="A30" s="11"/>
      <c r="B30" s="57" t="s">
        <v>255</v>
      </c>
      <c r="C30" s="59" t="s">
        <v>256</v>
      </c>
      <c r="D30" s="60">
        <f>IF(D11&gt;0,D7/D11,0)</f>
        <v>783.53019529490132</v>
      </c>
      <c r="E30" s="60">
        <f>IF(E11&gt;0,E7/E11,0)</f>
        <v>132.61662007181718</v>
      </c>
      <c r="F30" s="60">
        <f>IF(F11&gt;0,F7/F11,0)</f>
        <v>55.437230192838889</v>
      </c>
      <c r="G30" s="49" t="s">
        <v>158</v>
      </c>
      <c r="H30" s="9"/>
      <c r="I30" s="65"/>
      <c r="J30" s="65"/>
      <c r="K30" s="65"/>
      <c r="L30" s="65"/>
      <c r="M30" s="65"/>
    </row>
    <row r="31" spans="1:13" ht="15">
      <c r="A31" s="11"/>
      <c r="B31" s="19"/>
      <c r="C31" s="19"/>
      <c r="D31" s="19"/>
      <c r="E31" s="19"/>
      <c r="F31" s="19"/>
      <c r="G31" s="19"/>
      <c r="H31" s="11"/>
    </row>
    <row r="32" spans="1:13" ht="15">
      <c r="A32" s="11"/>
      <c r="B32" s="19"/>
      <c r="C32" s="19"/>
      <c r="D32" s="19"/>
      <c r="E32" s="19"/>
      <c r="F32" s="19"/>
      <c r="G32" s="19"/>
      <c r="H32" s="11"/>
    </row>
  </sheetData>
  <mergeCells count="2">
    <mergeCell ref="B2:G2"/>
    <mergeCell ref="B3:D3"/>
  </mergeCells>
  <conditionalFormatting sqref="D25:F25">
    <cfRule type="expression" dxfId="10" priority="1">
      <formula>D25&gt;=ABS(D26)</formula>
    </cfRule>
    <cfRule type="expression" dxfId="9" priority="2">
      <formula>AND(D25&gt;=0.5*ABS(D26),D25&lt;ABS(D26))</formula>
    </cfRule>
    <cfRule type="expression" dxfId="8" priority="3">
      <formula>D25&lt;0.5*ABS(D26)</formula>
    </cfRule>
  </conditionalFormatting>
  <conditionalFormatting sqref="D27:F27">
    <cfRule type="expression" dxfId="7" priority="4">
      <formula>D27&gt;=0.1*ABS(D26)</formula>
    </cfRule>
    <cfRule type="expression" dxfId="6" priority="5">
      <formula>AND(D27&gt;-0.1*ABS(D26),D27&lt;0.1*ABS(D26))</formula>
    </cfRule>
    <cfRule type="expression" dxfId="5" priority="6">
      <formula>D27&lt;=-0.1*ABS(D26)</formula>
    </cfRule>
  </conditionalFormatting>
  <conditionalFormatting sqref="D28:F28">
    <cfRule type="expression" dxfId="4" priority="8">
      <formula>AND(D28&gt;=0.5,D28&lt;1)</formula>
    </cfRule>
    <cfRule type="expression" dxfId="3" priority="9">
      <formula>D28&lt;0.5</formula>
    </cfRule>
  </conditionalFormatting>
  <conditionalFormatting sqref="D28:F29">
    <cfRule type="expression" dxfId="2" priority="7">
      <formula>D28&gt;=1</formula>
    </cfRule>
  </conditionalFormatting>
  <conditionalFormatting sqref="D29:F29">
    <cfRule type="expression" dxfId="1" priority="11">
      <formula>AND(D29&gt;=0,D29&lt;1)</formula>
    </cfRule>
    <cfRule type="expression" dxfId="0" priority="12">
      <formula>D29&lt;0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"/>
  <sheetViews>
    <sheetView tabSelected="1" workbookViewId="0">
      <selection activeCell="F36" sqref="F36"/>
    </sheetView>
  </sheetViews>
  <sheetFormatPr defaultRowHeight="14.25"/>
  <cols>
    <col min="1" max="1" width="9" style="66"/>
    <col min="2" max="2" width="31.75" style="66" customWidth="1"/>
    <col min="3" max="3" width="58" style="66" customWidth="1"/>
    <col min="4" max="4" width="21.5" style="66" customWidth="1"/>
    <col min="5" max="5" width="21" style="66" customWidth="1"/>
    <col min="6" max="6" width="45" style="66" customWidth="1"/>
    <col min="7" max="7" width="32" style="66" customWidth="1"/>
    <col min="8" max="8" width="9" style="66"/>
    <col min="9" max="9" width="4.5" style="66" customWidth="1"/>
    <col min="10" max="16384" width="9" style="66"/>
  </cols>
  <sheetData>
    <row r="1" spans="1:13" ht="26.25" customHeight="1">
      <c r="A1" s="11"/>
      <c r="B1" s="11"/>
      <c r="C1" s="11"/>
      <c r="D1" s="11"/>
    </row>
    <row r="2" spans="1:13" ht="48" customHeight="1">
      <c r="A2" s="11"/>
      <c r="B2" s="156" t="s">
        <v>159</v>
      </c>
      <c r="C2" s="156"/>
      <c r="D2" s="12"/>
      <c r="E2" s="98"/>
      <c r="F2" s="98"/>
      <c r="G2" s="98"/>
      <c r="H2" s="65"/>
      <c r="I2" s="65"/>
      <c r="J2" s="65"/>
      <c r="K2" s="65"/>
      <c r="L2" s="65"/>
      <c r="M2" s="65"/>
    </row>
    <row r="3" spans="1:13" ht="30" customHeight="1">
      <c r="A3" s="11"/>
      <c r="B3" s="146" t="s">
        <v>160</v>
      </c>
      <c r="C3" s="146"/>
      <c r="D3" s="18"/>
      <c r="E3" s="97"/>
      <c r="F3" s="97"/>
      <c r="G3" s="97"/>
      <c r="H3" s="67"/>
      <c r="I3" s="67"/>
      <c r="J3" s="67"/>
      <c r="K3" s="67"/>
      <c r="L3" s="67"/>
      <c r="M3" s="67"/>
    </row>
    <row r="4" spans="1:13" ht="21.95" customHeight="1">
      <c r="A4" s="11"/>
      <c r="B4" s="160" t="s">
        <v>161</v>
      </c>
      <c r="C4" s="160"/>
      <c r="D4" s="17"/>
      <c r="E4" s="99"/>
      <c r="F4" s="99"/>
      <c r="G4" s="99"/>
      <c r="H4" s="65"/>
      <c r="I4" s="65"/>
      <c r="J4" s="65"/>
      <c r="K4" s="65"/>
      <c r="L4" s="65"/>
      <c r="M4" s="65"/>
    </row>
    <row r="5" spans="1:13" ht="18" customHeight="1">
      <c r="A5" s="11"/>
      <c r="B5" s="157" t="s">
        <v>162</v>
      </c>
      <c r="C5" s="157"/>
      <c r="D5" s="16"/>
      <c r="E5" s="100"/>
      <c r="F5" s="100"/>
      <c r="G5" s="100"/>
      <c r="H5" s="65"/>
      <c r="I5" s="65"/>
      <c r="J5" s="65"/>
      <c r="K5" s="65"/>
      <c r="L5" s="65"/>
      <c r="M5" s="65"/>
    </row>
    <row r="6" spans="1:13" ht="18">
      <c r="A6" s="11"/>
      <c r="B6" s="157"/>
      <c r="C6" s="157"/>
      <c r="D6" s="16"/>
      <c r="E6" s="100"/>
      <c r="F6" s="100"/>
      <c r="G6" s="100"/>
      <c r="H6" s="65"/>
      <c r="I6" s="65"/>
      <c r="J6" s="65"/>
      <c r="K6" s="65"/>
      <c r="L6" s="65"/>
      <c r="M6" s="65"/>
    </row>
    <row r="7" spans="1:13" ht="18">
      <c r="A7" s="11"/>
      <c r="B7" s="157"/>
      <c r="C7" s="157"/>
      <c r="D7" s="16"/>
      <c r="E7" s="100"/>
      <c r="F7" s="100"/>
      <c r="G7" s="100"/>
      <c r="H7" s="65"/>
      <c r="I7" s="65"/>
      <c r="J7" s="65"/>
      <c r="K7" s="65"/>
      <c r="L7" s="65"/>
      <c r="M7" s="65"/>
    </row>
    <row r="8" spans="1:13" ht="29.25" customHeight="1">
      <c r="A8" s="11"/>
      <c r="B8" s="157"/>
      <c r="C8" s="157"/>
      <c r="D8" s="16"/>
      <c r="E8" s="100"/>
      <c r="F8" s="100"/>
      <c r="G8" s="100"/>
      <c r="H8" s="65"/>
      <c r="I8" s="65"/>
      <c r="J8" s="65"/>
      <c r="K8" s="65"/>
      <c r="L8" s="65"/>
      <c r="M8" s="65"/>
    </row>
    <row r="9" spans="1:13" ht="32.25" customHeight="1">
      <c r="A9" s="11"/>
      <c r="B9" s="159" t="s">
        <v>163</v>
      </c>
      <c r="C9" s="159"/>
      <c r="D9" s="14"/>
      <c r="E9" s="101"/>
      <c r="F9" s="101"/>
      <c r="G9" s="101"/>
      <c r="H9" s="65"/>
      <c r="I9" s="65"/>
      <c r="J9" s="65"/>
      <c r="K9" s="65"/>
      <c r="L9" s="65"/>
      <c r="M9" s="65"/>
    </row>
    <row r="10" spans="1:13" ht="36">
      <c r="A10" s="11"/>
      <c r="B10" s="20" t="s">
        <v>114</v>
      </c>
      <c r="C10" s="21" t="s">
        <v>257</v>
      </c>
      <c r="D10" s="15"/>
      <c r="E10" s="102"/>
      <c r="F10" s="102"/>
      <c r="G10" s="102"/>
      <c r="H10" s="65"/>
      <c r="I10" s="65"/>
      <c r="J10" s="65"/>
      <c r="K10" s="65"/>
      <c r="L10" s="65"/>
      <c r="M10" s="65"/>
    </row>
    <row r="11" spans="1:13" ht="18">
      <c r="A11" s="11"/>
      <c r="B11" s="20" t="s">
        <v>116</v>
      </c>
      <c r="C11" s="21" t="s">
        <v>164</v>
      </c>
      <c r="D11" s="15"/>
      <c r="E11" s="102"/>
      <c r="F11" s="102"/>
      <c r="G11" s="102"/>
      <c r="H11" s="65"/>
      <c r="I11" s="65"/>
      <c r="J11" s="65"/>
      <c r="K11" s="65"/>
      <c r="L11" s="65"/>
      <c r="M11" s="65"/>
    </row>
    <row r="12" spans="1:13" ht="18">
      <c r="A12" s="11"/>
      <c r="B12" s="20" t="s">
        <v>5</v>
      </c>
      <c r="C12" s="21" t="s">
        <v>165</v>
      </c>
      <c r="D12" s="15"/>
      <c r="E12" s="102"/>
      <c r="F12" s="102"/>
      <c r="G12" s="102"/>
      <c r="H12" s="65"/>
      <c r="I12" s="65"/>
      <c r="J12" s="65"/>
      <c r="K12" s="65"/>
      <c r="L12" s="65"/>
      <c r="M12" s="65"/>
    </row>
    <row r="13" spans="1:13" ht="36">
      <c r="A13" s="11"/>
      <c r="B13" s="20" t="s">
        <v>166</v>
      </c>
      <c r="C13" s="21" t="s">
        <v>167</v>
      </c>
      <c r="D13" s="15"/>
      <c r="E13" s="102"/>
      <c r="F13" s="102"/>
      <c r="G13" s="102"/>
      <c r="H13" s="65"/>
      <c r="I13" s="65"/>
      <c r="J13" s="65"/>
      <c r="K13" s="65"/>
      <c r="L13" s="65"/>
      <c r="M13" s="65"/>
    </row>
    <row r="14" spans="1:13" ht="36">
      <c r="A14" s="11"/>
      <c r="B14" s="20" t="s">
        <v>168</v>
      </c>
      <c r="C14" s="21" t="s">
        <v>169</v>
      </c>
      <c r="D14" s="15"/>
      <c r="E14" s="102"/>
      <c r="F14" s="102"/>
      <c r="G14" s="102"/>
      <c r="H14" s="65"/>
      <c r="I14" s="65"/>
      <c r="J14" s="65"/>
      <c r="K14" s="65"/>
      <c r="L14" s="65"/>
      <c r="M14" s="65"/>
    </row>
    <row r="15" spans="1:13" ht="18">
      <c r="A15" s="11"/>
      <c r="B15" s="20" t="s">
        <v>170</v>
      </c>
      <c r="C15" s="21" t="s">
        <v>171</v>
      </c>
      <c r="D15" s="15"/>
      <c r="E15" s="102"/>
      <c r="F15" s="102"/>
      <c r="G15" s="102"/>
      <c r="H15" s="65"/>
      <c r="I15" s="65"/>
      <c r="J15" s="65"/>
      <c r="K15" s="65"/>
      <c r="L15" s="65"/>
      <c r="M15" s="65"/>
    </row>
    <row r="16" spans="1:13" ht="18">
      <c r="A16" s="11"/>
      <c r="B16" s="20" t="s">
        <v>3</v>
      </c>
      <c r="C16" s="21" t="s">
        <v>172</v>
      </c>
      <c r="D16" s="15"/>
      <c r="E16" s="102"/>
      <c r="F16" s="102"/>
      <c r="G16" s="102"/>
      <c r="H16" s="65"/>
      <c r="I16" s="65"/>
      <c r="J16" s="65"/>
      <c r="K16" s="65"/>
      <c r="L16" s="65"/>
      <c r="M16" s="65"/>
    </row>
    <row r="17" spans="1:13" ht="30.75" customHeight="1">
      <c r="A17" s="11"/>
      <c r="B17" s="158" t="s">
        <v>173</v>
      </c>
      <c r="C17" s="158"/>
      <c r="D17" s="14"/>
      <c r="E17" s="101"/>
      <c r="F17" s="101"/>
      <c r="G17" s="101"/>
      <c r="H17" s="65"/>
      <c r="I17" s="65"/>
      <c r="J17" s="65"/>
      <c r="K17" s="65"/>
      <c r="L17" s="65"/>
      <c r="M17" s="65"/>
    </row>
    <row r="18" spans="1:13" ht="18">
      <c r="A18" s="11"/>
      <c r="B18" s="22" t="s">
        <v>174</v>
      </c>
      <c r="C18" s="21" t="s">
        <v>175</v>
      </c>
      <c r="D18" s="15"/>
      <c r="E18" s="102"/>
      <c r="F18" s="102"/>
      <c r="G18" s="102"/>
      <c r="H18" s="65"/>
      <c r="I18" s="65"/>
      <c r="J18" s="65"/>
      <c r="K18" s="65"/>
      <c r="L18" s="65"/>
      <c r="M18" s="65"/>
    </row>
    <row r="19" spans="1:13" ht="36">
      <c r="A19" s="11"/>
      <c r="B19" s="22" t="s">
        <v>176</v>
      </c>
      <c r="C19" s="21" t="s">
        <v>177</v>
      </c>
      <c r="D19" s="15"/>
      <c r="E19" s="102"/>
      <c r="F19" s="102"/>
      <c r="G19" s="102"/>
      <c r="H19" s="65"/>
      <c r="I19" s="65"/>
      <c r="J19" s="65"/>
      <c r="K19" s="65"/>
      <c r="L19" s="65"/>
      <c r="M19" s="65"/>
    </row>
    <row r="20" spans="1:13" ht="18">
      <c r="A20" s="11"/>
      <c r="B20" s="22" t="s">
        <v>178</v>
      </c>
      <c r="C20" s="21" t="s">
        <v>179</v>
      </c>
      <c r="D20" s="15"/>
      <c r="E20" s="102"/>
      <c r="F20" s="102"/>
      <c r="G20" s="102"/>
      <c r="H20" s="65"/>
      <c r="I20" s="65"/>
      <c r="J20" s="65"/>
      <c r="K20" s="65"/>
      <c r="L20" s="65"/>
      <c r="M20" s="65"/>
    </row>
    <row r="21" spans="1:13" ht="18">
      <c r="A21" s="11"/>
      <c r="B21" s="22" t="s">
        <v>180</v>
      </c>
      <c r="C21" s="21" t="s">
        <v>181</v>
      </c>
      <c r="D21" s="15"/>
      <c r="E21" s="102"/>
      <c r="F21" s="102"/>
      <c r="G21" s="102"/>
      <c r="H21" s="65"/>
      <c r="I21" s="65"/>
      <c r="J21" s="65"/>
      <c r="K21" s="65"/>
      <c r="L21" s="65"/>
      <c r="M21" s="65"/>
    </row>
    <row r="22" spans="1:13" ht="36">
      <c r="A22" s="11"/>
      <c r="B22" s="22" t="s">
        <v>182</v>
      </c>
      <c r="C22" s="21" t="s">
        <v>183</v>
      </c>
      <c r="D22" s="15"/>
      <c r="E22" s="102"/>
      <c r="F22" s="102"/>
      <c r="G22" s="102"/>
      <c r="H22" s="65"/>
      <c r="I22" s="65"/>
      <c r="J22" s="65"/>
      <c r="K22" s="65"/>
      <c r="L22" s="65"/>
      <c r="M22" s="65"/>
    </row>
    <row r="23" spans="1:13" ht="36">
      <c r="A23" s="11"/>
      <c r="B23" s="22" t="s">
        <v>184</v>
      </c>
      <c r="C23" s="21" t="s">
        <v>185</v>
      </c>
      <c r="D23" s="15"/>
      <c r="E23" s="102"/>
      <c r="F23" s="102"/>
      <c r="G23" s="102"/>
      <c r="H23" s="65"/>
      <c r="I23" s="65"/>
      <c r="J23" s="65"/>
      <c r="K23" s="65"/>
      <c r="L23" s="65"/>
      <c r="M23" s="65"/>
    </row>
    <row r="24" spans="1:13" ht="36">
      <c r="A24" s="11"/>
      <c r="B24" s="22" t="s">
        <v>186</v>
      </c>
      <c r="C24" s="21" t="s">
        <v>187</v>
      </c>
      <c r="D24" s="15"/>
      <c r="E24" s="15"/>
      <c r="F24" s="15"/>
      <c r="G24" s="15"/>
      <c r="H24" s="9"/>
      <c r="I24" s="9"/>
      <c r="J24" s="65"/>
      <c r="K24" s="65"/>
      <c r="L24" s="65"/>
      <c r="M24" s="65"/>
    </row>
    <row r="25" spans="1:13" ht="21.95" customHeight="1">
      <c r="A25" s="11"/>
      <c r="B25" s="13" t="s">
        <v>188</v>
      </c>
      <c r="C25" s="13"/>
      <c r="D25" s="13"/>
      <c r="E25" s="13"/>
      <c r="F25" s="13"/>
      <c r="G25" s="13"/>
      <c r="H25" s="9"/>
      <c r="I25" s="9"/>
      <c r="J25" s="65"/>
      <c r="K25" s="65"/>
      <c r="L25" s="65"/>
      <c r="M25" s="65"/>
    </row>
    <row r="26" spans="1:13" ht="18">
      <c r="A26" s="11"/>
      <c r="B26" s="104" t="s">
        <v>189</v>
      </c>
      <c r="C26" s="104" t="s">
        <v>190</v>
      </c>
      <c r="D26" s="104" t="s">
        <v>191</v>
      </c>
      <c r="E26" s="104" t="s">
        <v>192</v>
      </c>
      <c r="F26" s="104" t="s">
        <v>193</v>
      </c>
      <c r="G26" s="104" t="s">
        <v>194</v>
      </c>
      <c r="H26" s="9"/>
      <c r="I26" s="9"/>
      <c r="J26" s="65"/>
      <c r="K26" s="65"/>
      <c r="L26" s="65"/>
      <c r="M26" s="65"/>
    </row>
    <row r="27" spans="1:13" ht="42.75">
      <c r="A27" s="11"/>
      <c r="B27" s="23" t="s">
        <v>195</v>
      </c>
      <c r="C27" s="23" t="s">
        <v>196</v>
      </c>
      <c r="D27" s="23" t="s">
        <v>197</v>
      </c>
      <c r="E27" s="23" t="s">
        <v>198</v>
      </c>
      <c r="F27" s="23" t="s">
        <v>199</v>
      </c>
      <c r="G27" s="23" t="s">
        <v>200</v>
      </c>
      <c r="H27" s="9"/>
      <c r="I27" s="9"/>
      <c r="J27" s="65"/>
      <c r="K27" s="65"/>
      <c r="L27" s="65"/>
      <c r="M27" s="65"/>
    </row>
    <row r="28" spans="1:13" ht="71.25">
      <c r="A28" s="11"/>
      <c r="B28" s="23" t="s">
        <v>201</v>
      </c>
      <c r="C28" s="23" t="s">
        <v>202</v>
      </c>
      <c r="D28" s="23" t="s">
        <v>203</v>
      </c>
      <c r="E28" s="23" t="s">
        <v>258</v>
      </c>
      <c r="F28" s="23" t="s">
        <v>204</v>
      </c>
      <c r="G28" s="23" t="s">
        <v>205</v>
      </c>
      <c r="H28" s="9"/>
      <c r="I28" s="9"/>
      <c r="J28" s="65"/>
      <c r="K28" s="65"/>
      <c r="L28" s="65"/>
      <c r="M28" s="65"/>
    </row>
    <row r="29" spans="1:13" ht="57">
      <c r="A29" s="11"/>
      <c r="B29" s="23" t="s">
        <v>206</v>
      </c>
      <c r="C29" s="23" t="s">
        <v>207</v>
      </c>
      <c r="D29" s="23" t="s">
        <v>208</v>
      </c>
      <c r="E29" s="23" t="s">
        <v>209</v>
      </c>
      <c r="F29" s="23" t="s">
        <v>210</v>
      </c>
      <c r="G29" s="23" t="s">
        <v>211</v>
      </c>
      <c r="H29" s="9"/>
      <c r="I29" s="9"/>
      <c r="J29" s="65"/>
      <c r="K29" s="65"/>
      <c r="L29" s="65"/>
      <c r="M29" s="65"/>
    </row>
    <row r="30" spans="1:13" ht="57">
      <c r="A30" s="11"/>
      <c r="B30" s="23" t="s">
        <v>212</v>
      </c>
      <c r="C30" s="23" t="s">
        <v>213</v>
      </c>
      <c r="D30" s="23" t="s">
        <v>214</v>
      </c>
      <c r="E30" s="23" t="s">
        <v>215</v>
      </c>
      <c r="F30" s="23" t="s">
        <v>259</v>
      </c>
      <c r="G30" s="23" t="s">
        <v>260</v>
      </c>
      <c r="H30" s="9"/>
      <c r="I30" s="9"/>
      <c r="J30" s="65"/>
      <c r="K30" s="65"/>
      <c r="L30" s="65"/>
      <c r="M30" s="65"/>
    </row>
    <row r="31" spans="1:13" ht="71.25">
      <c r="A31" s="11"/>
      <c r="B31" s="23" t="s">
        <v>216</v>
      </c>
      <c r="C31" s="23" t="s">
        <v>217</v>
      </c>
      <c r="D31" s="23" t="s">
        <v>218</v>
      </c>
      <c r="E31" s="23" t="s">
        <v>219</v>
      </c>
      <c r="F31" s="23" t="s">
        <v>261</v>
      </c>
      <c r="G31" s="23" t="s">
        <v>262</v>
      </c>
      <c r="H31" s="9"/>
      <c r="I31" s="9"/>
      <c r="J31" s="65"/>
      <c r="K31" s="65"/>
      <c r="L31" s="65"/>
      <c r="M31" s="65"/>
    </row>
    <row r="32" spans="1:13" ht="54" customHeight="1">
      <c r="A32" s="11"/>
      <c r="B32" s="23" t="s">
        <v>220</v>
      </c>
      <c r="C32" s="23" t="s">
        <v>221</v>
      </c>
      <c r="D32" s="23" t="s">
        <v>222</v>
      </c>
      <c r="E32" s="23" t="s">
        <v>223</v>
      </c>
      <c r="F32" s="23" t="s">
        <v>224</v>
      </c>
      <c r="G32" s="23" t="s">
        <v>225</v>
      </c>
      <c r="H32" s="9"/>
      <c r="I32" s="9"/>
      <c r="J32" s="65"/>
      <c r="K32" s="65"/>
      <c r="L32" s="65"/>
      <c r="M32" s="65"/>
    </row>
    <row r="33" spans="1:13" ht="21.95" customHeight="1">
      <c r="A33" s="11"/>
      <c r="B33" s="155" t="s">
        <v>226</v>
      </c>
      <c r="C33" s="155"/>
      <c r="D33" s="155"/>
      <c r="E33" s="155"/>
      <c r="F33" s="155"/>
      <c r="G33" s="155"/>
      <c r="H33" s="9"/>
      <c r="I33" s="9"/>
      <c r="J33" s="65"/>
      <c r="K33" s="65"/>
      <c r="L33" s="65"/>
      <c r="M33" s="65"/>
    </row>
    <row r="34" spans="1:13" ht="36">
      <c r="A34" s="11"/>
      <c r="B34" s="24" t="s">
        <v>227</v>
      </c>
      <c r="C34" s="25" t="s">
        <v>228</v>
      </c>
      <c r="D34" s="15"/>
      <c r="E34" s="15"/>
      <c r="F34" s="15"/>
      <c r="G34" s="15"/>
      <c r="H34" s="9"/>
      <c r="I34" s="9"/>
      <c r="J34" s="65"/>
      <c r="K34" s="65"/>
      <c r="L34" s="65"/>
      <c r="M34" s="65"/>
    </row>
    <row r="35" spans="1:13" ht="54">
      <c r="A35" s="11"/>
      <c r="B35" s="24" t="s">
        <v>229</v>
      </c>
      <c r="C35" s="25" t="s">
        <v>230</v>
      </c>
      <c r="D35" s="15"/>
      <c r="E35" s="102"/>
      <c r="F35" s="102"/>
      <c r="G35" s="102"/>
      <c r="H35" s="65"/>
      <c r="I35" s="65"/>
      <c r="J35" s="65"/>
      <c r="K35" s="65"/>
      <c r="L35" s="65"/>
      <c r="M35" s="65"/>
    </row>
    <row r="36" spans="1:13" ht="36">
      <c r="A36" s="11"/>
      <c r="B36" s="24" t="s">
        <v>231</v>
      </c>
      <c r="C36" s="25" t="s">
        <v>232</v>
      </c>
      <c r="D36" s="15"/>
      <c r="E36" s="102"/>
      <c r="F36" s="102"/>
      <c r="G36" s="102"/>
      <c r="H36" s="65"/>
      <c r="I36" s="65"/>
      <c r="J36" s="65"/>
      <c r="K36" s="65"/>
      <c r="L36" s="65"/>
      <c r="M36" s="65"/>
    </row>
    <row r="37" spans="1:13" ht="36">
      <c r="A37" s="11"/>
      <c r="B37" s="24" t="s">
        <v>233</v>
      </c>
      <c r="C37" s="25" t="s">
        <v>234</v>
      </c>
      <c r="D37" s="15"/>
      <c r="E37" s="102"/>
      <c r="F37" s="102"/>
      <c r="G37" s="102"/>
      <c r="H37" s="65"/>
      <c r="I37" s="65"/>
      <c r="J37" s="65"/>
      <c r="K37" s="65"/>
      <c r="L37" s="65"/>
      <c r="M37" s="65"/>
    </row>
    <row r="38" spans="1:13" ht="36">
      <c r="A38" s="11"/>
      <c r="B38" s="24" t="s">
        <v>235</v>
      </c>
      <c r="C38" s="25" t="s">
        <v>236</v>
      </c>
      <c r="D38" s="15"/>
      <c r="E38" s="102"/>
      <c r="F38" s="102"/>
      <c r="G38" s="102"/>
      <c r="H38" s="65"/>
      <c r="I38" s="65"/>
      <c r="J38" s="65"/>
      <c r="K38" s="65"/>
      <c r="L38" s="65"/>
      <c r="M38" s="65"/>
    </row>
    <row r="39" spans="1:13" ht="79.5" customHeight="1">
      <c r="A39" s="11"/>
      <c r="B39" s="161" t="s">
        <v>263</v>
      </c>
      <c r="C39" s="162" t="s">
        <v>264</v>
      </c>
      <c r="D39" s="19"/>
      <c r="E39" s="103"/>
      <c r="F39" s="103"/>
      <c r="G39" s="103"/>
    </row>
    <row r="40" spans="1:13" ht="15">
      <c r="A40" s="11"/>
      <c r="B40" s="19"/>
      <c r="C40" s="19"/>
      <c r="D40" s="19"/>
      <c r="E40" s="103"/>
      <c r="F40" s="103"/>
      <c r="G40" s="103"/>
    </row>
  </sheetData>
  <mergeCells count="7">
    <mergeCell ref="B33:G33"/>
    <mergeCell ref="B3:C3"/>
    <mergeCell ref="B2:C2"/>
    <mergeCell ref="B5:C8"/>
    <mergeCell ref="B17:C17"/>
    <mergeCell ref="B9:C9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Dashboard</vt:lpstr>
      <vt:lpstr>Inputs &amp; Guidance</vt:lpstr>
      <vt:lpstr>Impact Model</vt:lpstr>
      <vt:lpstr>Methodology &amp;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Livingstone</dc:creator>
  <cp:lastModifiedBy>Matthew Livingstone</cp:lastModifiedBy>
  <dcterms:created xsi:type="dcterms:W3CDTF">2026-07-15T17:28:23Z</dcterms:created>
  <dcterms:modified xsi:type="dcterms:W3CDTF">2026-07-15T21:53:54Z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7ed875-cb67-40d7-9ea6-a804b08b1148_Enabled">
    <vt:lpwstr>true</vt:lpwstr>
  </property>
  <property fmtid="{D5CDD505-2E9C-101B-9397-08002B2CF9AE}" pid="3" name="MSIP_Label_9a7ed875-cb67-40d7-9ea6-a804b08b1148_SetDate">
    <vt:lpwstr>2026-07-15T17:15:08Z</vt:lpwstr>
  </property>
  <property fmtid="{D5CDD505-2E9C-101B-9397-08002B2CF9AE}" pid="4" name="MSIP_Label_9a7ed875-cb67-40d7-9ea6-a804b08b1148_Method">
    <vt:lpwstr>Privileged</vt:lpwstr>
  </property>
  <property fmtid="{D5CDD505-2E9C-101B-9397-08002B2CF9AE}" pid="5" name="MSIP_Label_9a7ed875-cb67-40d7-9ea6-a804b08b1148_Name">
    <vt:lpwstr>9a7ed875-cb67-40d7-9ea6-a804b08b1148</vt:lpwstr>
  </property>
  <property fmtid="{D5CDD505-2E9C-101B-9397-08002B2CF9AE}" pid="6" name="MSIP_Label_9a7ed875-cb67-40d7-9ea6-a804b08b1148_SiteId">
    <vt:lpwstr>473672ba-cd07-4371-a2ae-788b4c61840e</vt:lpwstr>
  </property>
  <property fmtid="{D5CDD505-2E9C-101B-9397-08002B2CF9AE}" pid="7" name="MSIP_Label_9a7ed875-cb67-40d7-9ea6-a804b08b1148_ActionId">
    <vt:lpwstr>f56b18dd-2e4e-418a-9c0e-db8f7af3dcb0</vt:lpwstr>
  </property>
  <property fmtid="{D5CDD505-2E9C-101B-9397-08002B2CF9AE}" pid="8" name="MSIP_Label_9a7ed875-cb67-40d7-9ea6-a804b08b1148_ContentBits">
    <vt:lpwstr>0</vt:lpwstr>
  </property>
  <property fmtid="{D5CDD505-2E9C-101B-9397-08002B2CF9AE}" pid="9" name="MSIP_Label_9a7ed875-cb67-40d7-9ea6-a804b08b1148_Tag">
    <vt:lpwstr>10, 0, 1, 1</vt:lpwstr>
  </property>
</Properties>
</file>