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tthew\Downloads\"/>
    </mc:Choice>
  </mc:AlternateContent>
  <xr:revisionPtr revIDLastSave="0" documentId="8_{CE964217-F4A8-4AD1-8645-3B9B1E6A82BB}" xr6:coauthVersionLast="47" xr6:coauthVersionMax="47" xr10:uidLastSave="{00000000-0000-0000-0000-000000000000}"/>
  <bookViews>
    <workbookView xWindow="-108" yWindow="-108" windowWidth="41496" windowHeight="16776" tabRatio="500" activeTab="1" xr2:uid="{00000000-000D-0000-FFFF-FFFF00000000}"/>
  </bookViews>
  <sheets>
    <sheet name="Event Catalog" sheetId="2" r:id="rId1"/>
    <sheet name="Master Database" sheetId="3" r:id="rId2"/>
    <sheet name="Data Collection Protocol" sheetId="4" r:id="rId3"/>
    <sheet name="Aggregate Analysis" sheetId="5" r:id="rId4"/>
    <sheet name="Peer  Contagion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V5" i="3" l="1"/>
  <c r="U10" i="3"/>
  <c r="V10" i="3"/>
  <c r="W10" i="3"/>
  <c r="X10" i="3"/>
  <c r="Y10" i="3"/>
  <c r="Z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BC10" i="3"/>
  <c r="BD10" i="3"/>
  <c r="BE10" i="3"/>
  <c r="BF10" i="3"/>
  <c r="BG10" i="3"/>
  <c r="BH10" i="3"/>
  <c r="BI10" i="3"/>
  <c r="BJ10" i="3"/>
  <c r="BK10" i="3"/>
  <c r="BL10" i="3"/>
  <c r="BM10" i="3"/>
  <c r="BN10" i="3"/>
  <c r="BQ10" i="3"/>
  <c r="BS10" i="3"/>
  <c r="BT10" i="3"/>
  <c r="BU10" i="3"/>
  <c r="BV10" i="3"/>
  <c r="BX10" i="3"/>
  <c r="E29" i="5"/>
  <c r="E28" i="5"/>
  <c r="E27" i="5"/>
  <c r="E25" i="5"/>
  <c r="E24" i="5"/>
  <c r="E23" i="5"/>
  <c r="E22" i="5"/>
  <c r="E21" i="5"/>
  <c r="E20" i="5"/>
  <c r="E18" i="5"/>
  <c r="E17" i="5"/>
  <c r="E16" i="5"/>
  <c r="E15" i="5"/>
  <c r="E14" i="5"/>
  <c r="E8" i="5"/>
  <c r="D8" i="5"/>
  <c r="BX13" i="3"/>
  <c r="BV13" i="3"/>
  <c r="BU13" i="3"/>
  <c r="BT13" i="3"/>
  <c r="BS13" i="3"/>
  <c r="BQ13" i="3"/>
  <c r="BH13" i="3"/>
  <c r="BG13" i="3"/>
  <c r="BF13" i="3"/>
  <c r="BE13" i="3"/>
  <c r="BD13" i="3"/>
  <c r="BC13" i="3"/>
  <c r="AN13" i="3"/>
  <c r="AM13" i="3"/>
  <c r="AL13" i="3"/>
  <c r="AK13" i="3"/>
  <c r="AJ13" i="3"/>
  <c r="AI13" i="3"/>
  <c r="Z13" i="3"/>
  <c r="Y13" i="3"/>
  <c r="X13" i="3"/>
  <c r="W13" i="3"/>
  <c r="V13" i="3"/>
  <c r="U13" i="3"/>
  <c r="BX12" i="3"/>
  <c r="BV12" i="3"/>
  <c r="BU12" i="3"/>
  <c r="BT12" i="3"/>
  <c r="BS12" i="3"/>
  <c r="BQ12" i="3"/>
  <c r="BH12" i="3"/>
  <c r="BG12" i="3"/>
  <c r="BF12" i="3"/>
  <c r="BE12" i="3"/>
  <c r="BD12" i="3"/>
  <c r="BC12" i="3"/>
  <c r="AN12" i="3"/>
  <c r="AM12" i="3"/>
  <c r="AL12" i="3"/>
  <c r="AK12" i="3"/>
  <c r="AJ12" i="3"/>
  <c r="AI12" i="3"/>
  <c r="Z12" i="3"/>
  <c r="Y12" i="3"/>
  <c r="X12" i="3"/>
  <c r="W12" i="3"/>
  <c r="V12" i="3"/>
  <c r="U12" i="3"/>
  <c r="BX11" i="3"/>
  <c r="BV11" i="3"/>
  <c r="BU11" i="3"/>
  <c r="BT11" i="3"/>
  <c r="BS11" i="3"/>
  <c r="BQ11" i="3"/>
  <c r="BH11" i="3"/>
  <c r="BG11" i="3"/>
  <c r="BF11" i="3"/>
  <c r="BE11" i="3"/>
  <c r="BD11" i="3"/>
  <c r="BC11" i="3"/>
  <c r="AN11" i="3"/>
  <c r="AM11" i="3"/>
  <c r="AL11" i="3"/>
  <c r="AK11" i="3"/>
  <c r="AJ11" i="3"/>
  <c r="AI11" i="3"/>
  <c r="Z11" i="3"/>
  <c r="Y11" i="3"/>
  <c r="X11" i="3"/>
  <c r="W11" i="3"/>
  <c r="V11" i="3"/>
  <c r="U11" i="3"/>
  <c r="BX9" i="3"/>
  <c r="BV9" i="3"/>
  <c r="BU9" i="3"/>
  <c r="BT9" i="3"/>
  <c r="BS9" i="3"/>
  <c r="BQ9" i="3"/>
  <c r="BH9" i="3"/>
  <c r="BG9" i="3"/>
  <c r="BF9" i="3"/>
  <c r="BE9" i="3"/>
  <c r="BD9" i="3"/>
  <c r="BC9" i="3"/>
  <c r="AN9" i="3"/>
  <c r="AM9" i="3"/>
  <c r="AL9" i="3"/>
  <c r="AK9" i="3"/>
  <c r="AJ9" i="3"/>
  <c r="AI9" i="3"/>
  <c r="Z9" i="3"/>
  <c r="Y9" i="3"/>
  <c r="X9" i="3"/>
  <c r="W9" i="3"/>
  <c r="V9" i="3"/>
  <c r="U9" i="3"/>
  <c r="BX8" i="3"/>
  <c r="BV8" i="3"/>
  <c r="BU8" i="3"/>
  <c r="BT8" i="3"/>
  <c r="BS8" i="3"/>
  <c r="BQ8" i="3"/>
  <c r="BH8" i="3"/>
  <c r="BG8" i="3"/>
  <c r="BF8" i="3"/>
  <c r="BE8" i="3"/>
  <c r="BD8" i="3"/>
  <c r="BC8" i="3"/>
  <c r="AN8" i="3"/>
  <c r="AM8" i="3"/>
  <c r="AL8" i="3"/>
  <c r="AK8" i="3"/>
  <c r="AJ8" i="3"/>
  <c r="AI8" i="3"/>
  <c r="Z8" i="3"/>
  <c r="Y8" i="3"/>
  <c r="X8" i="3"/>
  <c r="W8" i="3"/>
  <c r="V8" i="3"/>
  <c r="U8" i="3"/>
  <c r="BX7" i="3"/>
  <c r="BV7" i="3"/>
  <c r="BU7" i="3"/>
  <c r="BT7" i="3"/>
  <c r="BS7" i="3"/>
  <c r="BQ7" i="3"/>
  <c r="BH7" i="3"/>
  <c r="BG7" i="3"/>
  <c r="BF7" i="3"/>
  <c r="BE7" i="3"/>
  <c r="BD7" i="3"/>
  <c r="BC7" i="3"/>
  <c r="AN7" i="3"/>
  <c r="AM7" i="3"/>
  <c r="AL7" i="3"/>
  <c r="AK7" i="3"/>
  <c r="AJ7" i="3"/>
  <c r="AI7" i="3"/>
  <c r="Z7" i="3"/>
  <c r="Y7" i="3"/>
  <c r="X7" i="3"/>
  <c r="W7" i="3"/>
  <c r="V7" i="3"/>
  <c r="U7" i="3"/>
  <c r="BX6" i="3"/>
  <c r="BV6" i="3"/>
  <c r="BU6" i="3"/>
  <c r="BT6" i="3"/>
  <c r="BS6" i="3"/>
  <c r="BQ6" i="3"/>
  <c r="BH6" i="3"/>
  <c r="BG6" i="3"/>
  <c r="BF6" i="3"/>
  <c r="BE6" i="3"/>
  <c r="BD6" i="3"/>
  <c r="BC6" i="3"/>
  <c r="AN6" i="3"/>
  <c r="AM6" i="3"/>
  <c r="AL6" i="3"/>
  <c r="AK6" i="3"/>
  <c r="AJ6" i="3"/>
  <c r="AI6" i="3"/>
  <c r="Z6" i="3"/>
  <c r="Y6" i="3"/>
  <c r="X6" i="3"/>
  <c r="W6" i="3"/>
  <c r="V6" i="3"/>
  <c r="U6" i="3"/>
  <c r="BX5" i="3"/>
  <c r="BU5" i="3"/>
  <c r="BT5" i="3"/>
  <c r="BS5" i="3"/>
  <c r="BQ5" i="3"/>
  <c r="BH5" i="3"/>
  <c r="BG5" i="3"/>
  <c r="BF5" i="3"/>
  <c r="BE5" i="3"/>
  <c r="BD5" i="3"/>
  <c r="BC5" i="3"/>
  <c r="AN5" i="3"/>
  <c r="AM5" i="3"/>
  <c r="AL5" i="3"/>
  <c r="AK5" i="3"/>
  <c r="AJ5" i="3"/>
  <c r="AI5" i="3"/>
  <c r="Z5" i="3"/>
  <c r="Y5" i="3"/>
  <c r="X5" i="3"/>
  <c r="W5" i="3"/>
  <c r="V5" i="3"/>
  <c r="U5" i="3"/>
  <c r="BX4" i="3"/>
  <c r="BV4" i="3"/>
  <c r="BU4" i="3"/>
  <c r="BT4" i="3"/>
  <c r="BS4" i="3"/>
  <c r="BQ4" i="3"/>
  <c r="BH4" i="3"/>
  <c r="BG4" i="3"/>
  <c r="BF4" i="3"/>
  <c r="BE4" i="3"/>
  <c r="BD4" i="3"/>
  <c r="BC4" i="3"/>
  <c r="AN4" i="3"/>
  <c r="AM4" i="3"/>
  <c r="AL4" i="3"/>
  <c r="AK4" i="3"/>
  <c r="AJ4" i="3"/>
  <c r="AI4" i="3"/>
  <c r="Z4" i="3"/>
  <c r="Y4" i="3"/>
  <c r="X4" i="3"/>
  <c r="W4" i="3"/>
  <c r="V4" i="3"/>
  <c r="U4" i="3"/>
  <c r="B7" i="5" l="1"/>
  <c r="B9" i="5"/>
  <c r="C9" i="5"/>
  <c r="D9" i="5"/>
  <c r="C8" i="5"/>
  <c r="E7" i="5"/>
  <c r="D7" i="5"/>
  <c r="C7" i="5"/>
  <c r="E11" i="5"/>
  <c r="C11" i="5"/>
  <c r="B11" i="5"/>
  <c r="D11" i="5"/>
  <c r="AR13" i="3"/>
  <c r="AQ13" i="3"/>
  <c r="B8" i="5"/>
  <c r="AR12" i="3"/>
  <c r="AQ12" i="3"/>
  <c r="AP12" i="3"/>
  <c r="AT13" i="3"/>
  <c r="B46" i="5" s="1"/>
  <c r="AO12" i="3"/>
  <c r="B28" i="5"/>
  <c r="BN7" i="3"/>
  <c r="B29" i="5"/>
  <c r="AS13" i="3"/>
  <c r="E10" i="5"/>
  <c r="D10" i="5"/>
  <c r="C10" i="5"/>
  <c r="E9" i="5"/>
  <c r="B27" i="5"/>
  <c r="B10" i="5"/>
  <c r="AP13" i="3"/>
  <c r="AO13" i="3"/>
  <c r="BN12" i="3"/>
  <c r="BM12" i="3"/>
  <c r="BL12" i="3"/>
  <c r="BK12" i="3"/>
  <c r="BJ12" i="3"/>
  <c r="BI12" i="3"/>
  <c r="AT12" i="3"/>
  <c r="B45" i="5" s="1"/>
  <c r="AS12" i="3"/>
  <c r="E6" i="5"/>
  <c r="BL13" i="3"/>
  <c r="BJ13" i="3"/>
  <c r="BN11" i="3"/>
  <c r="BM11" i="3"/>
  <c r="BL11" i="3"/>
  <c r="BK11" i="3"/>
  <c r="BJ11" i="3"/>
  <c r="BI11" i="3"/>
  <c r="AT11" i="3"/>
  <c r="B44" i="5" s="1"/>
  <c r="AS11" i="3"/>
  <c r="AR11" i="3"/>
  <c r="AQ11" i="3"/>
  <c r="AP11" i="3"/>
  <c r="AO11" i="3"/>
  <c r="B43" i="5"/>
  <c r="BN9" i="3"/>
  <c r="BM9" i="3"/>
  <c r="BL9" i="3"/>
  <c r="BK9" i="3"/>
  <c r="BJ9" i="3"/>
  <c r="BI9" i="3"/>
  <c r="AT9" i="3"/>
  <c r="B42" i="5" s="1"/>
  <c r="AS9" i="3"/>
  <c r="AR9" i="3"/>
  <c r="AQ9" i="3"/>
  <c r="AP9" i="3"/>
  <c r="AO9" i="3"/>
  <c r="BN8" i="3"/>
  <c r="BM8" i="3"/>
  <c r="BL8" i="3"/>
  <c r="BK8" i="3"/>
  <c r="BJ8" i="3"/>
  <c r="BI8" i="3"/>
  <c r="AT8" i="3"/>
  <c r="B41" i="5" s="1"/>
  <c r="AS8" i="3"/>
  <c r="AR8" i="3"/>
  <c r="AQ8" i="3"/>
  <c r="AP8" i="3"/>
  <c r="AO8" i="3"/>
  <c r="D6" i="5"/>
  <c r="C6" i="5"/>
  <c r="B6" i="5"/>
  <c r="BN13" i="3"/>
  <c r="BM13" i="3"/>
  <c r="BK13" i="3"/>
  <c r="BI13" i="3"/>
  <c r="BM7" i="3"/>
  <c r="BL7" i="3"/>
  <c r="BK7" i="3"/>
  <c r="BJ7" i="3"/>
  <c r="BI7" i="3"/>
  <c r="AT7" i="3"/>
  <c r="B40" i="5" s="1"/>
  <c r="AS7" i="3"/>
  <c r="AR7" i="3"/>
  <c r="AQ7" i="3"/>
  <c r="AP7" i="3"/>
  <c r="AO7" i="3"/>
  <c r="BN6" i="3"/>
  <c r="BM6" i="3"/>
  <c r="BL6" i="3"/>
  <c r="BK6" i="3"/>
  <c r="BJ6" i="3"/>
  <c r="BI6" i="3"/>
  <c r="AT6" i="3"/>
  <c r="B39" i="5" s="1"/>
  <c r="AS6" i="3"/>
  <c r="AR6" i="3"/>
  <c r="AQ6" i="3"/>
  <c r="AP6" i="3"/>
  <c r="AO6" i="3"/>
  <c r="BN5" i="3"/>
  <c r="BM5" i="3"/>
  <c r="BL5" i="3"/>
  <c r="BK5" i="3"/>
  <c r="BJ5" i="3"/>
  <c r="BI5" i="3"/>
  <c r="AT5" i="3"/>
  <c r="AS5" i="3"/>
  <c r="AR5" i="3"/>
  <c r="AQ5" i="3"/>
  <c r="AP5" i="3"/>
  <c r="AO5" i="3"/>
  <c r="BN4" i="3"/>
  <c r="BM4" i="3"/>
  <c r="BL4" i="3"/>
  <c r="BK4" i="3"/>
  <c r="BJ4" i="3"/>
  <c r="BI4" i="3"/>
  <c r="AT4" i="3"/>
  <c r="AS4" i="3"/>
  <c r="B35" i="5"/>
  <c r="B33" i="5"/>
  <c r="B34" i="5"/>
  <c r="D28" i="5"/>
  <c r="C28" i="5"/>
  <c r="D27" i="5"/>
  <c r="B36" i="5"/>
  <c r="B32" i="5"/>
  <c r="B31" i="5"/>
  <c r="D29" i="5"/>
  <c r="C29" i="5"/>
  <c r="C27" i="5"/>
  <c r="AR4" i="3"/>
  <c r="AQ4" i="3"/>
  <c r="AP4" i="3"/>
  <c r="AO4" i="3"/>
  <c r="E13" i="5" l="1"/>
  <c r="B25" i="5"/>
  <c r="C25" i="5"/>
  <c r="D25" i="5"/>
  <c r="B24" i="5"/>
  <c r="C24" i="5"/>
  <c r="D24" i="5"/>
  <c r="D23" i="5"/>
  <c r="B23" i="5"/>
  <c r="C23" i="5"/>
  <c r="C22" i="5"/>
  <c r="D22" i="5"/>
  <c r="B22" i="5"/>
  <c r="B21" i="5"/>
  <c r="D21" i="5"/>
  <c r="C21" i="5"/>
  <c r="B20" i="5"/>
  <c r="C20" i="5"/>
  <c r="D20" i="5"/>
  <c r="B18" i="5"/>
  <c r="C18" i="5"/>
  <c r="D18" i="5"/>
  <c r="B38" i="5"/>
  <c r="B17" i="5"/>
  <c r="D17" i="5"/>
  <c r="C17" i="5"/>
  <c r="C16" i="5"/>
  <c r="B16" i="5"/>
  <c r="D16" i="5"/>
  <c r="C15" i="5"/>
  <c r="B15" i="5"/>
  <c r="D15" i="5"/>
  <c r="C14" i="5"/>
  <c r="B14" i="5"/>
  <c r="D14" i="5"/>
  <c r="C13" i="5"/>
  <c r="B13" i="5"/>
  <c r="D1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4" authorId="0" shapeId="0" xr:uid="{00000000-0006-0000-0200-000001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N4" authorId="0" shapeId="0" xr:uid="{00000000-0006-0000-0200-00000B000000}">
      <text>
        <r>
          <rPr>
            <sz val="10"/>
            <rFont val="Arial"/>
            <family val="2"/>
          </rPr>
          <t>Adjusted close on the Baseline Trading Date (same listing/currency as the benchmark).</t>
        </r>
      </text>
    </comment>
    <comment ref="BR4" authorId="0" shapeId="0" xr:uid="{00000000-0006-0000-0200-000015000000}">
      <text>
        <r>
          <rPr>
            <sz val="10"/>
            <rFont val="Arial"/>
            <family val="2"/>
          </rPr>
          <t>First trading day AFTER the event where adj close &gt;= baseline. Leave blank if never recovered within your data window.</t>
        </r>
      </text>
    </comment>
    <comment ref="K5" authorId="0" shapeId="0" xr:uid="{00000000-0006-0000-0200-000002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K6" authorId="0" shapeId="0" xr:uid="{00000000-0006-0000-0200-000003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N6" authorId="0" shapeId="0" xr:uid="{00000000-0006-0000-0200-00000D000000}">
      <text>
        <r>
          <rPr>
            <sz val="10"/>
            <rFont val="Arial"/>
            <family val="2"/>
          </rPr>
          <t>Adjusted close on the Baseline Trading Date (same listing/currency as the benchmark).</t>
        </r>
      </text>
    </comment>
    <comment ref="BR6" authorId="0" shapeId="0" xr:uid="{00000000-0006-0000-0200-000017000000}">
      <text>
        <r>
          <rPr>
            <sz val="10"/>
            <rFont val="Arial"/>
            <family val="2"/>
          </rPr>
          <t>First trading day AFTER the event where adj close &gt;= baseline. Leave blank if never recovered within your data window.</t>
        </r>
      </text>
    </comment>
    <comment ref="K7" authorId="0" shapeId="0" xr:uid="{00000000-0006-0000-0200-000004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N7" authorId="0" shapeId="0" xr:uid="{00000000-0006-0000-0200-00000E000000}">
      <text>
        <r>
          <rPr>
            <sz val="10"/>
            <rFont val="Arial"/>
            <family val="2"/>
          </rPr>
          <t>Adjusted close on the Baseline Trading Date (same listing/currency as the benchmark).</t>
        </r>
      </text>
    </comment>
    <comment ref="K8" authorId="0" shapeId="0" xr:uid="{00000000-0006-0000-0200-000005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BR8" authorId="0" shapeId="0" xr:uid="{00000000-0006-0000-0200-000019000000}">
      <text>
        <r>
          <rPr>
            <sz val="10"/>
            <rFont val="Arial"/>
            <family val="2"/>
          </rPr>
          <t>First trading day AFTER the event where adj close &gt;= baseline. Leave blank if never recovered within your data window.</t>
        </r>
      </text>
    </comment>
    <comment ref="K9" authorId="0" shapeId="0" xr:uid="{00000000-0006-0000-0200-000006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K10" authorId="0" shapeId="0" xr:uid="{00000000-0006-0000-0200-000007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K11" authorId="0" shapeId="0" xr:uid="{00000000-0006-0000-0200-000008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K12" authorId="0" shapeId="0" xr:uid="{00000000-0006-0000-0200-000009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K13" authorId="0" shapeId="0" xr:uid="{00000000-0006-0000-0200-00000A000000}">
      <text>
        <r>
          <rPr>
            <sz val="10"/>
            <rFont val="Arial"/>
            <family val="2"/>
          </rPr>
          <t>Recommended last trading day BEFORE the event became market-relevant. Confirm it is a real trading day; adjust if needed.</t>
        </r>
      </text>
    </comment>
    <comment ref="N13" authorId="0" shapeId="0" xr:uid="{00000000-0006-0000-0200-000014000000}">
      <text>
        <r>
          <rPr>
            <sz val="10"/>
            <rFont val="Arial"/>
            <family val="2"/>
          </rPr>
          <t>Adjusted close on the Baseline Trading Date (same listing/currency as the benchmark).</t>
        </r>
      </text>
    </comment>
    <comment ref="BR13" authorId="0" shapeId="0" xr:uid="{00000000-0006-0000-0200-00001E000000}">
      <text>
        <r>
          <rPr>
            <sz val="10"/>
            <rFont val="Arial"/>
            <family val="2"/>
          </rPr>
          <t>First trading day AFTER the event where adj close &gt;= baseline. Leave blank if never recovered within your data window.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5" authorId="0" shapeId="0" xr:uid="{00000000-0006-0000-0500-000001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6" authorId="0" shapeId="0" xr:uid="{00000000-0006-0000-0500-000002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7" authorId="0" shapeId="0" xr:uid="{00000000-0006-0000-0500-000003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8" authorId="0" shapeId="0" xr:uid="{00000000-0006-0000-0500-000004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9" authorId="0" shapeId="0" xr:uid="{00000000-0006-0000-0500-000005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10" authorId="0" shapeId="0" xr:uid="{00000000-0006-0000-0500-000006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11" authorId="0" shapeId="0" xr:uid="{00000000-0006-0000-0500-000007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12" authorId="0" shapeId="0" xr:uid="{00000000-0006-0000-0500-000008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13" authorId="0" shapeId="0" xr:uid="{00000000-0006-0000-0500-000009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  <comment ref="E14" authorId="0" shapeId="0" xr:uid="{00000000-0006-0000-0500-00000A000000}">
      <text>
        <r>
          <rPr>
            <sz val="10"/>
            <rFont val="Arial"/>
            <family val="2"/>
          </rPr>
          <t>Average raw return of the listed peers over the 1D window (you compute peers individually, enter the average here).</t>
        </r>
      </text>
    </comment>
  </commentList>
</comments>
</file>

<file path=xl/sharedStrings.xml><?xml version="1.0" encoding="utf-8"?>
<sst xmlns="http://schemas.openxmlformats.org/spreadsheetml/2006/main" count="722" uniqueCount="458">
  <si>
    <t>Event ID</t>
  </si>
  <si>
    <t>Incident</t>
  </si>
  <si>
    <t>Company</t>
  </si>
  <si>
    <t>Type</t>
  </si>
  <si>
    <t>Country</t>
  </si>
  <si>
    <t>Incident Date</t>
  </si>
  <si>
    <t>Disclosure</t>
  </si>
  <si>
    <t>Rec. Baseline</t>
  </si>
  <si>
    <t>Location</t>
  </si>
  <si>
    <t>Description</t>
  </si>
  <si>
    <t>Est. Spill Size</t>
  </si>
  <si>
    <t>Fatalities</t>
  </si>
  <si>
    <t>Cleanup Cost</t>
  </si>
  <si>
    <t>Fines / Settlements</t>
  </si>
  <si>
    <t>Liability Clarity</t>
  </si>
  <si>
    <t>Data Quality</t>
  </si>
  <si>
    <t>Event-Study Suitability</t>
  </si>
  <si>
    <t>Key Driver of Reaction</t>
  </si>
  <si>
    <t>Contagion</t>
  </si>
  <si>
    <t>Approx. Historical Reaction (UNVERIFIED — do NOT use in calcs)</t>
  </si>
  <si>
    <t>Key Sources</t>
  </si>
  <si>
    <t>Limitations / Flags</t>
  </si>
  <si>
    <t>E01</t>
  </si>
  <si>
    <t>Deepwater Horizon (Macondo blowout)</t>
  </si>
  <si>
    <t>BP plc</t>
  </si>
  <si>
    <t>Integrated oil</t>
  </si>
  <si>
    <t>UK / USA (Gulf of Mexico)</t>
  </si>
  <si>
    <t>Macondo well, Mississippi Canyon 252, ~40 mi off Louisiana</t>
  </si>
  <si>
    <t>Blowout &amp; explosion on the Transocean-owned Deepwater Horizon rig drilling BP's Macondo well; well flowed for ~87 days, capped 15 Jul 2010. Largest marine oil spill in US history.</t>
  </si>
  <si>
    <t>~4.0M bbl released (~3.19M bbl net of capture); ~210M US gal</t>
  </si>
  <si>
    <t>11 killed, 17 injured</t>
  </si>
  <si>
    <t>Total &gt;$65B as of 2018 (cleanup, NRD, claims)</t>
  </si>
  <si>
    <t>$20.8B civil settlement (2016, record); $4.525B criminal (2012); CWA gross-negligence finding (2014)</t>
  </si>
  <si>
    <t>Clear (operator; gross negligence ruling, 2014)</t>
  </si>
  <si>
    <t>High</t>
  </si>
  <si>
    <t>Fatalities + uncontained spill + criminal liability + dividend suspension (Jun 2010)</t>
  </si>
  <si>
    <t>Moderate-High</t>
  </si>
  <si>
    <t>UNVERIFIED ballpark: ADR ~$60 pre-spill, trough ~$27 (late Jun 2010), ~ -55% peak-to-trough; ~ -25% at 1Y; did NOT reclear pre-spill ~$60 for many years.</t>
  </si>
  <si>
    <t>Wikipedia (Deepwater Horizon oil spill; litigation); NOAA; US DOJ; BP filings</t>
  </si>
  <si>
    <t>DWH cluster (shared event with E03 Transocean &amp; E10 Anadarko) — not an independent observation. ADR vs LSE: use one listing consistently.</t>
  </si>
  <si>
    <t>E02</t>
  </si>
  <si>
    <t>Exxon Valdez</t>
  </si>
  <si>
    <t>Exxon Corp. (now ExxonMobil)</t>
  </si>
  <si>
    <t>USA (Alaska)</t>
  </si>
  <si>
    <t>Bligh Reef, Prince William Sound, Alaska</t>
  </si>
  <si>
    <t>Tanker Exxon Valdez grounded on Bligh Reef, spilling crude into Prince William Sound. Benchmark 'resilient mega-cap' case.</t>
  </si>
  <si>
    <t>~257,000 bbl (~10.8M US gal)</t>
  </si>
  <si>
    <t>0 direct</t>
  </si>
  <si>
    <t>~$2B cleanup</t>
  </si>
  <si>
    <t>$1.025B civil/criminal (1991); $5B punitive (1994) cut to ~$507.5M by SCOTUS (2008)</t>
  </si>
  <si>
    <t>Clear</t>
  </si>
  <si>
    <t>Medium</t>
  </si>
  <si>
    <t>Medium-High</t>
  </si>
  <si>
    <t>Strong balance sheet; market judged impact manageable; dividend maintained</t>
  </si>
  <si>
    <t>Low</t>
  </si>
  <si>
    <t>UNVERIFIED ballpark: only a few % dip; recovered within weeks-to-months; ~flat-to-up over 1Y. Classic 'resilient' case. CONFIRM splits are back-adjusted (Exxon split 2:1 in 1987/1997/2001).</t>
  </si>
  <si>
    <t>Wikipedia (Exxon Valdez oil spill); SCOTUS Exxon Shipping Co. v. Baker (2008)</t>
  </si>
  <si>
    <t>Pre-1990 free adjusted-close data quality is the main risk; verify against a second source. Ticker XON-&gt;XOM (1999 merger).</t>
  </si>
  <si>
    <t>E03</t>
  </si>
  <si>
    <t>Deepwater Horizon (rig owner)</t>
  </si>
  <si>
    <t>Transocean Ltd.</t>
  </si>
  <si>
    <t>Offshore drilling contractor</t>
  </si>
  <si>
    <t>Switzerland / USA (Gulf of Mexico)</t>
  </si>
  <si>
    <t>Macondo well, Gulf of Mexico</t>
  </si>
  <si>
    <t>Owner/operator of the destroyed Deepwater Horizon rig. Same event as E01; tests how a drilling CONTRACTOR (vs operator) was repriced.</t>
  </si>
  <si>
    <t>Same event as E01</t>
  </si>
  <si>
    <t>11 (its rig)</t>
  </si>
  <si>
    <t>Contributed to response</t>
  </si>
  <si>
    <t>$1.4B Clean Water Act settlement (2013)</t>
  </si>
  <si>
    <t>Shared (rig owner; found partly liable)</t>
  </si>
  <si>
    <t>Lost flagship asset; liability uncertainty; US deepwater drilling moratorium hit order book</t>
  </si>
  <si>
    <t>Is part of the contagion</t>
  </si>
  <si>
    <t>UNVERIFIED ballpark: ~$92 pre, trough ~$45-50 mid-2010 (~ -45%+); did not recover within 1Y; pressured further by drilling moratorium.</t>
  </si>
  <si>
    <t>Wikipedia (Deepwater Horizon litigation); US DOJ 3 Jan 2013 release</t>
  </si>
  <si>
    <t>DWH cluster (E01, E10). Heavy sector confound (deepwater moratorium).</t>
  </si>
  <si>
    <t>E04</t>
  </si>
  <si>
    <t>Kalamazoo River (Line 6B rupture)</t>
  </si>
  <si>
    <t>Enbridge Inc.</t>
  </si>
  <si>
    <t>Pipeline</t>
  </si>
  <si>
    <t>Canada / USA (Michigan)</t>
  </si>
  <si>
    <t>Talmadge Creek -&gt; Kalamazoo River, Marshall, Michigan</t>
  </si>
  <si>
    <t>Line 6B ruptured, releasing diluted bitumen into the Kalamazoo River — then the costliest onshore spill in US history. Tests a regulated, toll-model pipeline.</t>
  </si>
  <si>
    <t>~20,000 bbl (~843,000 gal initial est.; later ~1.2M gal)</t>
  </si>
  <si>
    <t>0</t>
  </si>
  <si>
    <t>&gt;$1.2B</t>
  </si>
  <si>
    <t>$177M US federal settlement (2016); $3.7M PHMSA penalty</t>
  </si>
  <si>
    <t>Costs largely recoverable/insured; toll-based cash flows; small vs enterprise value</t>
  </si>
  <si>
    <t>UNVERIFIED ballpark: minimal lasting dent; ENB continued its uptrend; spill immaterial to valuation. Likely 'recovered' quickly or never meaningfully fell.</t>
  </si>
  <si>
    <t>Wikipedia (Kalamazoo River oil spill); EPA; PHMSA; NTSB</t>
  </si>
  <si>
    <t>Choose ONE listing+benchmark currency (TSX/CAD recommended). Do not mix ENB.TO with S&amp;P 500.</t>
  </si>
  <si>
    <t>E05</t>
  </si>
  <si>
    <t>Refugio (Line 901 rupture)</t>
  </si>
  <si>
    <t>Plains All American Pipeline, L.P.</t>
  </si>
  <si>
    <t>Pipeline (MLP)</t>
  </si>
  <si>
    <t>USA (California)</t>
  </si>
  <si>
    <t>Line 901, Refugio State Beach, Santa Barbara County, CA</t>
  </si>
  <si>
    <t>Corroded Line 901 ruptured onshore; crude reached the Pacific. Felony conviction (2018). MESSY CASE: collides with the 2014-16 oil-price crash and MLP de-rating.</t>
  </si>
  <si>
    <t>3,400 bbl (142,800 gal); &gt;100,000 gal reached ocean</t>
  </si>
  <si>
    <t>~$96M cleanup; ~$257M total estimate incl. claims</t>
  </si>
  <si>
    <t>Felony + 8 misdemeanors (2018); $3.347M fine (2019)</t>
  </si>
  <si>
    <t>Clear (felony conviction)</t>
  </si>
  <si>
    <t>High (prices) / LOW (clean attribution)</t>
  </si>
  <si>
    <t>CONFOUNDED: 2014-16 oil crash + MLP deleveraging + later distribution cut dominate the price path, not the spill</t>
  </si>
  <si>
    <t>N/A (sector crash dominates)</t>
  </si>
  <si>
    <t>UNVERIFIED ballpark: fell heavily over the following year (toward ~$16 by early 2016) — but that is overwhelmingly the oil/MLP crash, NOT the spill. EXCLUDE from clean aggregates or flag heavily.</t>
  </si>
  <si>
    <t>Wikipedia (Refugio oil spill); CA DOJ/AG; Santa Barbara County DA</t>
  </si>
  <si>
    <t>DO NOT use in clean aggregates without flagging. MLP units (not shares); use adj close. Macro/sector confound is severe.</t>
  </si>
  <si>
    <t>E06</t>
  </si>
  <si>
    <t>Hebei Spirit (crane-barge allision)</t>
  </si>
  <si>
    <t>Samsung Heavy Industries</t>
  </si>
  <si>
    <t>Marine / shipbuilding (at-fault party)</t>
  </si>
  <si>
    <t>South Korea</t>
  </si>
  <si>
    <t>Off Taean, Yellow Sea, South Korea</t>
  </si>
  <si>
    <t>A Samsung-owned crane barge broke its tow and holed the anchored VLCC Hebei Spirit — Korea's worst oil spill. Samsung Heavy was found at fault. Tests an at-fault party for whom the spill is financially immaterial.</t>
  </si>
  <si>
    <t>~10,900 t crude (~78,000-80,000 bbl)</t>
  </si>
  <si>
    <t>Led by Korea Coast Guard</t>
  </si>
  <si>
    <t>Criminal fine ~KRW30M (~$27k, trivial); civil recourse claims &gt;$400M (largely capped/insured)</t>
  </si>
  <si>
    <t>Shared/at-fault (barge liable; tanker also partly blamed on appeal; liability capped)</t>
  </si>
  <si>
    <t>Immaterial to a global shipbuilder; subsequent path dominated by 2008 GFC, not the spill</t>
  </si>
  <si>
    <t>None</t>
  </si>
  <si>
    <t>UNVERIFIED ballpark: little company-specific reaction; any large 2008 decline is the GFC, not the spill.</t>
  </si>
  <si>
    <t>Wikipedia (2007 South Korea oil spill); ITOPF; Korean court rulings</t>
  </si>
  <si>
    <t>Severe macro confound (GFC 2008). KRW listing; keep benchmark in KRW (KOSPI).</t>
  </si>
  <si>
    <t>E07</t>
  </si>
  <si>
    <t>MV Wakashio grounding</t>
  </si>
  <si>
    <t>Mitsui O.S.K. Lines (MOL)</t>
  </si>
  <si>
    <t>Tanker / shipping (charterer-operator)</t>
  </si>
  <si>
    <t>Japan / Mauritius</t>
  </si>
  <si>
    <t>Pointe d'Esny, Mauritius (Indian Ocean)</t>
  </si>
  <si>
    <t>Bulk carrier (owned by Nagashiki Shipping, chartered/operated by MOL) grounded 25 Jul; oil leaked from 6 Aug. Tests an indirectly-exposed, publicly-traded charterer.</t>
  </si>
  <si>
    <t>~1,000 t VLSFO (~260,000 gal)</t>
  </si>
  <si>
    <t>Insurer-funded (Japan P&amp;I)</t>
  </si>
  <si>
    <t>MOL pledged ¥1B (~$9.4M); owner liable under Bunkers Convention; MOL stated no material earnings effect</t>
  </si>
  <si>
    <t>Indirect (charterer; shipowner is the liable party)</t>
  </si>
  <si>
    <t>Reputational, financially immaterial; stock driven by COVID-era shipping recovery</t>
  </si>
  <si>
    <t>UNVERIFIED ballpark: minimal company-specific dent; path dominated by 2020 shipping-cycle / container recovery.</t>
  </si>
  <si>
    <t>Wikipedia (MV Wakashio oil spill); IMO; ReliefWeb; MOL 18 Dec 2020 report</t>
  </si>
  <si>
    <t>Two candidate baselines: grounding (24 Jul) vs leak disclosure (5 Aug, recommended). COVID confound. JPY listing.</t>
  </si>
  <si>
    <t>E08</t>
  </si>
  <si>
    <t>Norilsk Arctic diesel spill</t>
  </si>
  <si>
    <t>MMC Norilsk Nickel (Nornickel)</t>
  </si>
  <si>
    <t>Mining (petroleum-product spill analogue)</t>
  </si>
  <si>
    <t>Russia (Arctic)</t>
  </si>
  <si>
    <t>Norilsk, Krasnoyarsk Krai (Ambarnaya River), Russian Arctic</t>
  </si>
  <si>
    <t>A subsidiary fuel tank (NTEK CHPP-3) failed, dumping ~21,000 t diesel into Arctic rivers — the world's largest Arctic land oil spill. Putin declared a state of emergency. Diesel = petroleum-product analogue.</t>
  </si>
  <si>
    <t>~21,000 t (~17,500 t) diesel</t>
  </si>
  <si>
    <t>~$1.5B est.</t>
  </si>
  <si>
    <t>$2B (146.2B rubles, Feb 2021) — largest environmental fine in Russian history</t>
  </si>
  <si>
    <t>Clear (subsidiary NTEK; Nornickel paid in full)</t>
  </si>
  <si>
    <t>Large but affordable fine; quick recovery on strong palladium/nickel prices</t>
  </si>
  <si>
    <t>UNVERIFIED ballpark: ~ -4% to -8% around spill/fine news; recovered within weeks-months on metals strength. TWO events: spill (May/Jun 2020) and fine (Feb 2021).</t>
  </si>
  <si>
    <t>Wikipedia (Norilsk oil spill); RFE/RL; Reuters/MINING.com; Rosprirodnadzor</t>
  </si>
  <si>
    <t>Western trading of GMKN suspended after Feb 2022 (sanctions) — 2020-21 window is fine. COVID metals-recovery confound. RUB listing.</t>
  </si>
  <si>
    <t>E09</t>
  </si>
  <si>
    <t>Montara wellhead blowout</t>
  </si>
  <si>
    <t>PTT Exploration &amp; Production (PTTEP)</t>
  </si>
  <si>
    <t>Exploration &amp; production</t>
  </si>
  <si>
    <t>Thailand / Australia (Timor Sea)</t>
  </si>
  <si>
    <t>Montara wellhead, Timor Sea, off NW Australia</t>
  </si>
  <si>
    <t>Blowout at PTTEP Australasia's Montara wellhead; uncontrolled flow for 74 days (capped 3 Nov 2009). Tests a mid-cap E&amp;P where major costs landed years later.</t>
  </si>
  <si>
    <t>Disputed; est. ~hundreds of thousands of litres over 74 days (~tens of thousands of bbl) — UNCERTAIN</t>
  </si>
  <si>
    <t>Funded long-term monitoring</t>
  </si>
  <si>
    <t>A$510k (2012); A$192.5M (~$127M) seaweed-farmer settlement (2022); faces ~$1.7B Indonesia claim</t>
  </si>
  <si>
    <t>Clear (operator; pleaded guilty)</t>
  </si>
  <si>
    <t>Near-term immaterial; post-GFC oil-price recovery dominates; major costs deferred to 2018-2022</t>
  </si>
  <si>
    <t>UNVERIFIED ballpark: modest near-term reaction; 2009-10 path driven by post-GFC oil recovery, not the spill.</t>
  </si>
  <si>
    <t>Wikipedia (Montara oil spill); Montara Commission of Inquiry; Jakarta Post; Bangkok Post</t>
  </si>
  <si>
    <t>Spill volume genuinely uncertain (flag). Post-GFC macro confound. THB listing.</t>
  </si>
  <si>
    <t>E10</t>
  </si>
  <si>
    <t>Deepwater Horizon (25% non-op partner)</t>
  </si>
  <si>
    <t>Anadarko Petroleum</t>
  </si>
  <si>
    <t>E&amp;P (non-operating working-interest partner, 25%)</t>
  </si>
  <si>
    <t>USA (Gulf of Mexico)</t>
  </si>
  <si>
    <t>Held a 25% non-operating interest in Macondo. Same event as E01/E03; tests 'partner contagion' — how a non-operator was repriced on shared-liability fears.</t>
  </si>
  <si>
    <t>(event: 11)</t>
  </si>
  <si>
    <t>n/a (non-operator)</t>
  </si>
  <si>
    <t>Settled with BP for $4B (Oct 2011); $159.5M NRD share</t>
  </si>
  <si>
    <t>Disputed/shared (non-operator; argued BP gross negligence shielded it; ultimately settled)</t>
  </si>
  <si>
    <t>Shared-liability uncertainty; recovered as exposure was capped/settled (2011)</t>
  </si>
  <si>
    <t>Demonstrates partner contagion</t>
  </si>
  <si>
    <t>UNVERIFIED ballpark: ~$73 pre, trough ~$34-42 (Jun 2010, roughly halved); recovered over ~year+ as liability capped. APC delisted Aug 2019 (OXY deal).</t>
  </si>
  <si>
    <t>Wikipedia (Deepwater Horizon litigation); Anadarko-BP $4B settlement (Oct 2011)</t>
  </si>
  <si>
    <t>DWH cluster (E01, E03). Delisted 2019 — fine for this window. Non-operator =&gt; liability genuinely disputed.</t>
  </si>
  <si>
    <t>IDENTIFIERS &amp; SOURCING</t>
  </si>
  <si>
    <t>COMPANY ADJ-CLOSE PRICES (enter)</t>
  </si>
  <si>
    <t>RAW RETURN</t>
  </si>
  <si>
    <t>BENCHMARK RETURN</t>
  </si>
  <si>
    <t>MARKET-ADJUSTED RETURN</t>
  </si>
  <si>
    <t>INDUSTRY BENCHMARK RETURN</t>
  </si>
  <si>
    <t>INDUSTRY-ADJUSTED RETURN</t>
  </si>
  <si>
    <t>DRAWDOWN</t>
  </si>
  <si>
    <t>RECOVERY</t>
  </si>
  <si>
    <t>CLASSIFICATION</t>
  </si>
  <si>
    <t>Ticker at Event</t>
  </si>
  <si>
    <t>Current Ticker</t>
  </si>
  <si>
    <t>Exchange</t>
  </si>
  <si>
    <t>Company Type</t>
  </si>
  <si>
    <t>Disclosure Date</t>
  </si>
  <si>
    <t>Baseline Trading Date</t>
  </si>
  <si>
    <t>Currency</t>
  </si>
  <si>
    <t>Price Field</t>
  </si>
  <si>
    <t>Px Base</t>
  </si>
  <si>
    <t>Px 1D</t>
  </si>
  <si>
    <t>Px 1M</t>
  </si>
  <si>
    <t>Px 4M</t>
  </si>
  <si>
    <t>Px 6M</t>
  </si>
  <si>
    <t>Px 8M</t>
  </si>
  <si>
    <t>Px 1Y</t>
  </si>
  <si>
    <t>Raw Ret 1D</t>
  </si>
  <si>
    <t>Raw Ret 1M</t>
  </si>
  <si>
    <t>Raw Ret 4M</t>
  </si>
  <si>
    <t>Raw Ret 6M</t>
  </si>
  <si>
    <t>Raw Ret 8M</t>
  </si>
  <si>
    <t>Raw Ret 1Y</t>
  </si>
  <si>
    <t>Broad Benchmark</t>
  </si>
  <si>
    <t>Bench Base</t>
  </si>
  <si>
    <t>Bench 1D</t>
  </si>
  <si>
    <t>Bench 1M</t>
  </si>
  <si>
    <t>Bench 4M</t>
  </si>
  <si>
    <t>Bench 6M</t>
  </si>
  <si>
    <t>Bench 8M</t>
  </si>
  <si>
    <t>Bench 1Y</t>
  </si>
  <si>
    <t>Bench Ret 1D</t>
  </si>
  <si>
    <t>Bench Ret 1M</t>
  </si>
  <si>
    <t>Bench Ret 4M</t>
  </si>
  <si>
    <t>Bench Ret 6M</t>
  </si>
  <si>
    <t>Bench Ret 8M</t>
  </si>
  <si>
    <t>Bench Ret 1Y</t>
  </si>
  <si>
    <t>Mkt-Adj 1D</t>
  </si>
  <si>
    <t>Mkt-Adj 1M</t>
  </si>
  <si>
    <t>Mkt-Adj 4M</t>
  </si>
  <si>
    <t>Mkt-Adj 6M</t>
  </si>
  <si>
    <t>Mkt-Adj 8M</t>
  </si>
  <si>
    <t>Mkt-Adj 1Y</t>
  </si>
  <si>
    <t>Industry Benchmark</t>
  </si>
  <si>
    <t>Ind Base</t>
  </si>
  <si>
    <t>Ind 1D</t>
  </si>
  <si>
    <t>Ind 1M</t>
  </si>
  <si>
    <t>Ind 4M</t>
  </si>
  <si>
    <t>Ind 6M</t>
  </si>
  <si>
    <t>Ind 8M</t>
  </si>
  <si>
    <t>Ind 1Y</t>
  </si>
  <si>
    <t>Ind Ret 1D</t>
  </si>
  <si>
    <t>Ind Ret 1M</t>
  </si>
  <si>
    <t>Ind Ret 4M</t>
  </si>
  <si>
    <t>Ind Ret 6M</t>
  </si>
  <si>
    <t>Ind Ret 8M</t>
  </si>
  <si>
    <t>Ind Ret 1Y</t>
  </si>
  <si>
    <t>Ind-Adj 1D</t>
  </si>
  <si>
    <t>Ind-Adj 1M</t>
  </si>
  <si>
    <t>Ind-Adj 4M</t>
  </si>
  <si>
    <t>Ind-Adj 6M</t>
  </si>
  <si>
    <t>Ind-Adj 8M</t>
  </si>
  <si>
    <t>Ind-Adj 1Y</t>
  </si>
  <si>
    <t>Lowest Px in 1Y</t>
  </si>
  <si>
    <t>Date of Lowest</t>
  </si>
  <si>
    <t>Max Drawdown 1Y</t>
  </si>
  <si>
    <t>Recovery Date</t>
  </si>
  <si>
    <t>Recovered to Baseline?</t>
  </si>
  <si>
    <t>Trading Days to Recovery</t>
  </si>
  <si>
    <t>Calendar Days to Recovery</t>
  </si>
  <si>
    <t>Recovered within 1Y?</t>
  </si>
  <si>
    <t>Next Stable High Date</t>
  </si>
  <si>
    <t>Days to Next Stable High</t>
  </si>
  <si>
    <t>Clean Aggregate?</t>
  </si>
  <si>
    <t>Contagion Class</t>
  </si>
  <si>
    <t>Key Driver</t>
  </si>
  <si>
    <t>Limitations</t>
  </si>
  <si>
    <t>BP (NYSE ADR)</t>
  </si>
  <si>
    <t>BP</t>
  </si>
  <si>
    <t>NYSE (ADR); LSE</t>
  </si>
  <si>
    <t>USD (ADR)</t>
  </si>
  <si>
    <t>Adjusted close</t>
  </si>
  <si>
    <t>S&amp;P 500 (^GSPC)</t>
  </si>
  <si>
    <t>Energy Select SPDR (XLE)</t>
  </si>
  <si>
    <t>Yes</t>
  </si>
  <si>
    <t>XON (NYSE)</t>
  </si>
  <si>
    <t>XOM</t>
  </si>
  <si>
    <t>NYSE</t>
  </si>
  <si>
    <t>USD</t>
  </si>
  <si>
    <t>None (no energy ETF existed in 1989; XLE launched 1998)</t>
  </si>
  <si>
    <t>RIG (NYSE)</t>
  </si>
  <si>
    <t>RIG</t>
  </si>
  <si>
    <t>VanEck Oil Services (OIH) / XLE</t>
  </si>
  <si>
    <t>ENB (TSX / NYSE)</t>
  </si>
  <si>
    <t>ENB</t>
  </si>
  <si>
    <t>TSX (recommend primary); also NYSE</t>
  </si>
  <si>
    <t>CAD (TSX)</t>
  </si>
  <si>
    <t>S&amp;P/TSX Composite (^GSPTSE)</t>
  </si>
  <si>
    <t>S&amp;P/TSX Capped Energy (or XLE)</t>
  </si>
  <si>
    <t>PAA (NYSE) — MLP units</t>
  </si>
  <si>
    <t>PAA</t>
  </si>
  <si>
    <t>Adjusted close (distributions matter for MLP — adj close essential)</t>
  </si>
  <si>
    <t>Alerian MLP (AMLP) + XLE</t>
  </si>
  <si>
    <t>No</t>
  </si>
  <si>
    <t>010140.KS (KOSPI)</t>
  </si>
  <si>
    <t>010140.KS</t>
  </si>
  <si>
    <t>KRX / KOSPI</t>
  </si>
  <si>
    <t>KRW</t>
  </si>
  <si>
    <t>KOSPI Composite (^KS11)</t>
  </si>
  <si>
    <t>None (shipbuilder)</t>
  </si>
  <si>
    <t>9104.T (TSE)</t>
  </si>
  <si>
    <t>9104.T</t>
  </si>
  <si>
    <t>Tokyo (TSE)</t>
  </si>
  <si>
    <t>JPY</t>
  </si>
  <si>
    <t>Nikkei 225 (^N225)</t>
  </si>
  <si>
    <t>None (shipping)</t>
  </si>
  <si>
    <t>GMKN.ME (MOEX); LSE GDR: MNOD</t>
  </si>
  <si>
    <t>GMKN.ME</t>
  </si>
  <si>
    <t>MOEX (recommend); LSE GDR</t>
  </si>
  <si>
    <t>RUB (MOEX)</t>
  </si>
  <si>
    <t>MOEX Russia Index (IMOEX) / RTS</t>
  </si>
  <si>
    <t>None (diversified miner)</t>
  </si>
  <si>
    <t>PTTEP.BK (SET)</t>
  </si>
  <si>
    <t>PTTEP.BK</t>
  </si>
  <si>
    <t>Stock Exchange of Thailand</t>
  </si>
  <si>
    <t>THB</t>
  </si>
  <si>
    <t>SET Index (^SET)</t>
  </si>
  <si>
    <t>APC (NYSE)</t>
  </si>
  <si>
    <t>Delisted — acquired by Occidental (OXY), Aug 2019</t>
  </si>
  <si>
    <t>XLE</t>
  </si>
  <si>
    <t>DATA COLLECTION PROTOCOL — exact retrieval recipe for every price cell</t>
  </si>
  <si>
    <t>For each event, pull ADJUSTED CLOSE on the dates below from your source, then paste into the matching yellow cell on 'Master Database'. If a target date is a weekend/holiday, use the FIRST TRADING DAY ON OR AFTER it (and note the shift).</t>
  </si>
  <si>
    <t>Use Ticker</t>
  </si>
  <si>
    <t>Price field</t>
  </si>
  <si>
    <t>Source (with link)</t>
  </si>
  <si>
    <t>Broad benchmark</t>
  </si>
  <si>
    <t>Industry benchmark</t>
  </si>
  <si>
    <t>Baseline target</t>
  </si>
  <si>
    <t>Window target dates (use first trading day on/after)</t>
  </si>
  <si>
    <t>Baseline note</t>
  </si>
  <si>
    <t>Yahoo Finance: finance.yahoo.com/quote/BP/history  (Stooq alt for older data)</t>
  </si>
  <si>
    <t>2010-04-20</t>
  </si>
  <si>
    <t>1D: 2010-04-21 | 1M: 2010-05-20 | 4M: 2010-08-20 | 6M: 2010-10-20 | 8M: 2010-12-20 | 1Y: 2011-04-20</t>
  </si>
  <si>
    <t>Explosion eve 20 Apr; baseline = 20 Apr close.</t>
  </si>
  <si>
    <t>Yahoo Finance: finance.yahoo.com/quote/XOM/history  (Stooq alt for older data)</t>
  </si>
  <si>
    <t>1989-03-23</t>
  </si>
  <si>
    <t>1D: 1989-03-24 | 1M: 1989-04-23 | 4M: 1989-07-23 | 6M: 1989-09-23 | 8M: 1989-11-23 | 1Y: 1990-03-23</t>
  </si>
  <si>
    <t>Grounded 24 Mar (Good Fri); baseline = 23 Mar.</t>
  </si>
  <si>
    <t>Yahoo Finance: finance.yahoo.com/quote/RIG/history  (Stooq alt for older data)</t>
  </si>
  <si>
    <t>Same event as E01.</t>
  </si>
  <si>
    <t>ENB.TO</t>
  </si>
  <si>
    <t>CAD</t>
  </si>
  <si>
    <t>Yahoo Finance: finance.yahoo.com/quote/ENB.TO/history  (Stooq alt for older data)</t>
  </si>
  <si>
    <t>2010-07-23</t>
  </si>
  <si>
    <t>1D: 2010-07-24 | 1M: 2010-08-23 | 4M: 2010-11-23 | 6M: 2011-01-23 | 8M: 2011-03-23 | 1Y: 2011-07-23</t>
  </si>
  <si>
    <t>Rupture 25–26 Jul; baseline = 23 Jul (Fri).</t>
  </si>
  <si>
    <t>Yahoo Finance: finance.yahoo.com/quote/PAA/history  (Stooq alt for older data)</t>
  </si>
  <si>
    <t>2015-05-18</t>
  </si>
  <si>
    <t>1D: 2015-05-19 | 1M: 2015-06-18 | 4M: 2015-09-18 | 6M: 2015-11-18 | 8M: 2016-01-18 | 1Y: 2016-05-18</t>
  </si>
  <si>
    <t>Spill 19 May; baseline = 18 May.</t>
  </si>
  <si>
    <t>Yahoo Finance: finance.yahoo.com/quote/010140.KS/history  (Stooq alt for older data)</t>
  </si>
  <si>
    <t>2007-12-06</t>
  </si>
  <si>
    <t>1D: 2007-12-07 | 1M: 2008-01-06 | 4M: 2008-04-06 | 6M: 2008-06-06 | 8M: 2008-08-06 | 1Y: 2008-12-06</t>
  </si>
  <si>
    <t>Allision 7 Dec; baseline = 6 Dec.</t>
  </si>
  <si>
    <t>Yahoo Finance: finance.yahoo.com/quote/9104.T/history  (Stooq alt for older data)</t>
  </si>
  <si>
    <t>2020-08-05</t>
  </si>
  <si>
    <t>1D: 2020-08-06 | 1M: 2020-09-05 | 4M: 2020-12-05 | 6M: 2021-02-05 | 8M: 2021-04-05 | 1Y: 2021-08-05</t>
  </si>
  <si>
    <t>Grounded 25 Jul, LEAK 6 Aug — recommend baseline 5 Aug (leak); alt = 24 Jul.</t>
  </si>
  <si>
    <t>RUB</t>
  </si>
  <si>
    <t>Yahoo Finance: finance.yahoo.com/quote/GMKN.ME/history  (Stooq alt for older data)</t>
  </si>
  <si>
    <t>2020-06-02</t>
  </si>
  <si>
    <t>1D: 2020-06-03 | 1M: 2020-07-02 | 4M: 2020-10-02 | 6M: 2020-12-02 | 8M: 2021-02-02 | 1Y: 2021-06-02</t>
  </si>
  <si>
    <t>Spill 29 May, public/emergency ~3 Jun — recommend baseline 2 Jun; alt = 28 May.</t>
  </si>
  <si>
    <t>Yahoo Finance: finance.yahoo.com/quote/PTTEP.BK/history  (Stooq alt for older data)</t>
  </si>
  <si>
    <t>2009-08-20</t>
  </si>
  <si>
    <t>1D: 2009-08-21 | 1M: 2009-09-20 | 4M: 2009-12-20 | 6M: 2010-02-20 | 8M: 2010-04-20 | 1Y: 2010-08-20</t>
  </si>
  <si>
    <t>Blowout 21 Aug; baseline = 20 Aug.</t>
  </si>
  <si>
    <t>APC</t>
  </si>
  <si>
    <t>Yahoo Finance: finance.yahoo.com/quote/APC/history  (Stooq alt for older data)</t>
  </si>
  <si>
    <t>'All events' uses all 10 rows. 'Clean subset' excludes events flagged Clean Aggregate?=No (currently E05 Plains/Refugio — severe oil-crash confound). Note the DWH cluster (E01/E03/E10 share one event); read with the caveats on the README.</t>
  </si>
  <si>
    <t>Metric</t>
  </si>
  <si>
    <t>All events — Avg</t>
  </si>
  <si>
    <t>All events — Median</t>
  </si>
  <si>
    <t>Clean subset — Avg</t>
  </si>
  <si>
    <t>Clean subset — Median</t>
  </si>
  <si>
    <t>Raw return by window</t>
  </si>
  <si>
    <t>Raw return 1D</t>
  </si>
  <si>
    <t>Raw return 1M</t>
  </si>
  <si>
    <t>Raw return 4M</t>
  </si>
  <si>
    <t>Raw return 6M</t>
  </si>
  <si>
    <t>Raw return 8M</t>
  </si>
  <si>
    <t>Raw return 1Y</t>
  </si>
  <si>
    <t>Market-adjusted return by window</t>
  </si>
  <si>
    <t>Mkt-adj return 1D</t>
  </si>
  <si>
    <t>Mkt-adj return 1M</t>
  </si>
  <si>
    <t>Mkt-adj return 4M</t>
  </si>
  <si>
    <t>Mkt-adj return 6M</t>
  </si>
  <si>
    <t>Mkt-adj return 8M</t>
  </si>
  <si>
    <t>Mkt-adj return 1Y</t>
  </si>
  <si>
    <t>Industry-adjusted return by window</t>
  </si>
  <si>
    <t>Ind-adj return 1D</t>
  </si>
  <si>
    <t>Ind-adj return 1M</t>
  </si>
  <si>
    <t>Ind-adj return 4M</t>
  </si>
  <si>
    <t>Ind-adj return 6M</t>
  </si>
  <si>
    <t>Ind-adj return 8M</t>
  </si>
  <si>
    <t>Ind-adj return 1Y</t>
  </si>
  <si>
    <t>Drawdown &amp; recovery</t>
  </si>
  <si>
    <t>Max drawdown (1Y)</t>
  </si>
  <si>
    <t>Calendar days to recovery</t>
  </si>
  <si>
    <t>Trading days to recovery</t>
  </si>
  <si>
    <t>Recovery rates (share of events)</t>
  </si>
  <si>
    <t>Recovered within 1 month (≤31 cal. days)</t>
  </si>
  <si>
    <t>Recovered within 4 months (≤123 days)</t>
  </si>
  <si>
    <t>Recovered within 6 months (≤183 days)</t>
  </si>
  <si>
    <t>Recovered within 8 months (≤245 days)</t>
  </si>
  <si>
    <t>Recovered within 1 year (flag = Yes)</t>
  </si>
  <si>
    <t>Did NOT recover within 1 year (flag = No)</t>
  </si>
  <si>
    <t>Mkt-adjusted 1Y by company type (AVERAGEIFS)</t>
  </si>
  <si>
    <t>All percentages compute live once you enter prices. Empty inputs → blank, never an error.</t>
  </si>
  <si>
    <t>PEER / CONTAGION — was the damage company-specific or sector-wide?</t>
  </si>
  <si>
    <t>Enter each peer's window return (yellow). Peer-average columns compute live. Compare to the affected name's market-adjusted return (Master Database) and to the industry benchmark: if peers fell with it → sector contagion; if peers held/outperformed → company-specific.</t>
  </si>
  <si>
    <t>Affected Co.</t>
  </si>
  <si>
    <t>Peer tickers (suggested)</t>
  </si>
  <si>
    <t>Peer avg 1D</t>
  </si>
  <si>
    <t>Peer avg 1M</t>
  </si>
  <si>
    <t>Peer avg 4M</t>
  </si>
  <si>
    <t>Peer avg 6M</t>
  </si>
  <si>
    <t>Peer avg 8M</t>
  </si>
  <si>
    <t>Peer avg 1Y</t>
  </si>
  <si>
    <t>Contagion class</t>
  </si>
  <si>
    <t>Notes</t>
  </si>
  <si>
    <t>XOM, CVX, RDS, RIG, APC, HAL</t>
  </si>
  <si>
    <t>From Catalog; revise after peer data is in.</t>
  </si>
  <si>
    <t>CVX (Chevron), Mobil, Amoco, Texaco (note: many later merged)</t>
  </si>
  <si>
    <t>NE (Noble), DO (Diamond Offshore), ESV, HAL</t>
  </si>
  <si>
    <t>TRP (TC Energy), PPL (Pembina), KMI, ENF</t>
  </si>
  <si>
    <t>AMLP, MMP, EPD, ET</t>
  </si>
  <si>
    <t>009540.KS (HHI), 010620.KS (HMD), 042660.KS</t>
  </si>
  <si>
    <t>9101.T (NYK), 9107.T (K-Line)</t>
  </si>
  <si>
    <t>ALRS.ME (Alrosa), PLZL.ME (Polyus), RUAL</t>
  </si>
  <si>
    <t>PTT.BK, BCP.BK (regional E&amp;P)</t>
  </si>
  <si>
    <t>APA (Apache), DVN (Devon), EOG, MRO</t>
  </si>
  <si>
    <t>AGGREGATE ANALYSIS:  Auto-computed from 'Master Database' as you enter prices</t>
  </si>
  <si>
    <t>XEG.TO</t>
  </si>
  <si>
    <t>BROAD BENCHMARK PRICES (enter data)</t>
  </si>
  <si>
    <t>INDUSTRY BENCHMARK PRICES (enter data)</t>
  </si>
  <si>
    <t>2010-07-09</t>
  </si>
  <si>
    <t>1989-06-13</t>
  </si>
  <si>
    <t>2010-09-09</t>
  </si>
  <si>
    <t>2010-08-23</t>
  </si>
  <si>
    <t>2016-02-29</t>
  </si>
  <si>
    <t>2008-12-08</t>
  </si>
  <si>
    <t>2020-08-26</t>
  </si>
  <si>
    <t>2020-07-29</t>
  </si>
  <si>
    <t>2009-12-16</t>
  </si>
  <si>
    <t>1989-04-21</t>
  </si>
  <si>
    <t>2008-05-19</t>
  </si>
  <si>
    <t>2020-08-07</t>
  </si>
  <si>
    <t>2020-12-02</t>
  </si>
  <si>
    <t>2009-08-28</t>
  </si>
  <si>
    <t>1989-04-11</t>
  </si>
  <si>
    <t>2010-07-29</t>
  </si>
  <si>
    <t>2016-02-11</t>
  </si>
  <si>
    <t>2008-10-27</t>
  </si>
  <si>
    <t>2020-08-24</t>
  </si>
  <si>
    <t>2020-07-14</t>
  </si>
  <si>
    <t>2009-11-24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</si>
</sst>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0.0%;\(0.0%\);\-"/>
    <numFmt numFmtId="166" formatCode="#,##0.0"/>
    <numFmt numFmtId="167" formatCode="0.0%"/>
  </numFmts>
  <fonts count="3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sz val="10"/>
      <color rgb="FF008000"/>
      <name val="Arial"/>
      <family val="2"/>
    </font>
    <font>
      <i/>
      <sz val="9"/>
      <color rgb="FF595959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color rgb="FF595959"/>
      <name val="Arial"/>
      <family val="2"/>
    </font>
    <font>
      <sz val="11"/>
      <color theme="1"/>
      <name val="Lato"/>
    </font>
    <font>
      <b/>
      <sz val="9"/>
      <color rgb="FFFFFFFF"/>
      <name val="Lato"/>
    </font>
    <font>
      <sz val="10"/>
      <name val="Lato"/>
    </font>
    <font>
      <sz val="10"/>
      <color rgb="FF0000FF"/>
      <name val="Lato"/>
    </font>
    <font>
      <sz val="9"/>
      <name val="Lato"/>
    </font>
    <font>
      <b/>
      <sz val="14"/>
      <color rgb="FFFFFFFF"/>
      <name val="Lato"/>
    </font>
    <font>
      <b/>
      <sz val="16"/>
      <color rgb="FFFFFFFF"/>
      <name val="Lato"/>
    </font>
    <font>
      <sz val="11"/>
      <name val="Calibri"/>
      <family val="2"/>
      <charset val="1"/>
    </font>
    <font>
      <b/>
      <sz val="10"/>
      <color theme="0"/>
      <name val="Arial"/>
      <family val="2"/>
    </font>
    <font>
      <sz val="11"/>
      <color theme="0"/>
      <name val="Calibri"/>
      <family val="2"/>
      <charset val="1"/>
    </font>
    <font>
      <b/>
      <sz val="13"/>
      <color rgb="FF1F3864"/>
      <name val="Arial"/>
      <family val="2"/>
    </font>
    <font>
      <b/>
      <sz val="13"/>
      <color theme="0"/>
      <name val="Lato"/>
      <family val="2"/>
    </font>
    <font>
      <sz val="11"/>
      <color theme="1"/>
      <name val="Lato"/>
      <family val="2"/>
    </font>
    <font>
      <i/>
      <sz val="9"/>
      <color rgb="FF595959"/>
      <name val="Lato"/>
      <family val="2"/>
    </font>
    <font>
      <b/>
      <sz val="9"/>
      <color rgb="FFFFFFFF"/>
      <name val="Lato"/>
      <family val="2"/>
    </font>
    <font>
      <sz val="9"/>
      <name val="Lato"/>
      <family val="2"/>
    </font>
    <font>
      <b/>
      <sz val="16"/>
      <color theme="0"/>
      <name val="Lato"/>
      <family val="2"/>
    </font>
    <font>
      <b/>
      <sz val="18"/>
      <color theme="0"/>
      <name val="Lato"/>
      <family val="2"/>
    </font>
    <font>
      <i/>
      <sz val="9"/>
      <color theme="0"/>
      <name val="Lato"/>
      <family val="2"/>
    </font>
    <font>
      <b/>
      <sz val="13"/>
      <color rgb="FF1F3864"/>
      <name val="Lato"/>
      <family val="2"/>
    </font>
    <font>
      <sz val="10"/>
      <color rgb="FF0000FF"/>
      <name val="Lato"/>
      <family val="2"/>
    </font>
    <font>
      <i/>
      <sz val="8"/>
      <name val="Lato"/>
      <family val="2"/>
    </font>
  </fonts>
  <fills count="13">
    <fill>
      <patternFill patternType="none"/>
    </fill>
    <fill>
      <patternFill patternType="gray125"/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1F3864"/>
        <bgColor rgb="FF333333"/>
      </patternFill>
    </fill>
    <fill>
      <patternFill patternType="solid">
        <fgColor rgb="FF0E56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rgb="FFFCE4D6"/>
      </patternFill>
    </fill>
    <fill>
      <patternFill patternType="solid">
        <fgColor rgb="FF1F3864"/>
        <bgColor indexed="64"/>
      </patternFill>
    </fill>
    <fill>
      <patternFill patternType="solid">
        <fgColor rgb="FF0E5690"/>
        <bgColor rgb="FF1F3864"/>
      </patternFill>
    </fill>
    <fill>
      <patternFill patternType="solid">
        <fgColor rgb="FF0E5690"/>
        <bgColor rgb="FFFCE4D6"/>
      </patternFill>
    </fill>
    <fill>
      <patternFill patternType="solid">
        <fgColor rgb="FF1F3864"/>
        <bgColor rgb="FFFCE4D6"/>
      </patternFill>
    </fill>
    <fill>
      <patternFill patternType="solid">
        <fgColor rgb="FFDCE6F1"/>
        <bgColor rgb="FFFFF2CC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9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164" fontId="10" fillId="6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7" borderId="1" xfId="0" applyNumberFormat="1" applyFont="1" applyFill="1" applyBorder="1" applyAlignment="1">
      <alignment horizontal="center" vertical="center" wrapText="1"/>
    </xf>
    <xf numFmtId="164" fontId="11" fillId="7" borderId="1" xfId="0" applyNumberFormat="1" applyFont="1" applyFill="1" applyBorder="1" applyAlignment="1">
      <alignment horizontal="center" vertical="center" wrapText="1"/>
    </xf>
    <xf numFmtId="0" fontId="0" fillId="8" borderId="0" xfId="0" applyFill="1"/>
    <xf numFmtId="0" fontId="8" fillId="8" borderId="0" xfId="0" applyFont="1" applyFill="1"/>
    <xf numFmtId="0" fontId="8" fillId="5" borderId="0" xfId="0" applyFont="1" applyFill="1"/>
    <xf numFmtId="0" fontId="9" fillId="4" borderId="3" xfId="0" applyFont="1" applyFill="1" applyBorder="1" applyAlignment="1">
      <alignment horizontal="center" vertical="center" wrapText="1"/>
    </xf>
    <xf numFmtId="0" fontId="0" fillId="10" borderId="0" xfId="0" applyFill="1"/>
    <xf numFmtId="0" fontId="17" fillId="10" borderId="0" xfId="0" applyFont="1" applyFill="1"/>
    <xf numFmtId="0" fontId="0" fillId="6" borderId="0" xfId="0" applyFill="1"/>
    <xf numFmtId="0" fontId="4" fillId="4" borderId="1" xfId="0" applyFont="1" applyFill="1" applyBorder="1" applyAlignment="1">
      <alignment horizontal="center" vertical="center"/>
    </xf>
    <xf numFmtId="0" fontId="16" fillId="10" borderId="0" xfId="0" applyFont="1" applyFill="1" applyAlignment="1">
      <alignment vertical="center"/>
    </xf>
    <xf numFmtId="0" fontId="16" fillId="10" borderId="0" xfId="0" applyFont="1" applyFill="1" applyAlignment="1">
      <alignment horizontal="left" vertical="center"/>
    </xf>
    <xf numFmtId="0" fontId="1" fillId="6" borderId="10" xfId="0" applyFont="1" applyFill="1" applyBorder="1"/>
    <xf numFmtId="165" fontId="6" fillId="6" borderId="10" xfId="0" applyNumberFormat="1" applyFont="1" applyFill="1" applyBorder="1" applyAlignment="1">
      <alignment horizontal="center" vertical="center" wrapText="1"/>
    </xf>
    <xf numFmtId="166" fontId="6" fillId="6" borderId="10" xfId="0" applyNumberFormat="1" applyFont="1" applyFill="1" applyBorder="1" applyAlignment="1">
      <alignment horizontal="center" vertical="center" wrapText="1"/>
    </xf>
    <xf numFmtId="0" fontId="15" fillId="8" borderId="0" xfId="0" applyFont="1" applyFill="1"/>
    <xf numFmtId="0" fontId="5" fillId="6" borderId="10" xfId="0" applyFont="1" applyFill="1" applyBorder="1"/>
    <xf numFmtId="165" fontId="2" fillId="6" borderId="10" xfId="0" applyNumberFormat="1" applyFont="1" applyFill="1" applyBorder="1" applyAlignment="1">
      <alignment horizontal="center" vertical="center" wrapText="1"/>
    </xf>
    <xf numFmtId="167" fontId="6" fillId="6" borderId="10" xfId="0" applyNumberFormat="1" applyFont="1" applyFill="1" applyBorder="1" applyAlignment="1">
      <alignment horizontal="center" vertical="center" wrapText="1"/>
    </xf>
    <xf numFmtId="0" fontId="17" fillId="11" borderId="0" xfId="0" applyFont="1" applyFill="1"/>
    <xf numFmtId="0" fontId="15" fillId="5" borderId="0" xfId="0" applyFont="1" applyFill="1"/>
    <xf numFmtId="165" fontId="0" fillId="5" borderId="0" xfId="0" applyNumberFormat="1" applyFill="1"/>
    <xf numFmtId="0" fontId="13" fillId="9" borderId="5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2" xfId="0" applyFill="1" applyBorder="1" applyAlignment="1">
      <alignment horizontal="center"/>
    </xf>
    <xf numFmtId="0" fontId="13" fillId="9" borderId="4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/>
    </xf>
    <xf numFmtId="0" fontId="3" fillId="6" borderId="0" xfId="0" applyFont="1" applyFill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vertical="top" wrapText="1"/>
    </xf>
    <xf numFmtId="0" fontId="23" fillId="2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vertical="top" wrapText="1"/>
    </xf>
    <xf numFmtId="0" fontId="23" fillId="6" borderId="1" xfId="0" applyFont="1" applyFill="1" applyBorder="1" applyAlignment="1">
      <alignment horizontal="center" vertical="center" wrapText="1"/>
    </xf>
    <xf numFmtId="0" fontId="20" fillId="5" borderId="0" xfId="0" applyFont="1" applyFill="1"/>
    <xf numFmtId="0" fontId="20" fillId="8" borderId="0" xfId="0" applyFont="1" applyFill="1"/>
    <xf numFmtId="0" fontId="19" fillId="6" borderId="0" xfId="0" applyFont="1" applyFill="1" applyAlignment="1">
      <alignment horizontal="center"/>
    </xf>
    <xf numFmtId="0" fontId="24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vertical="top" wrapText="1"/>
    </xf>
    <xf numFmtId="0" fontId="19" fillId="5" borderId="0" xfId="0" applyFont="1" applyFill="1" applyAlignment="1">
      <alignment horizontal="center"/>
    </xf>
    <xf numFmtId="0" fontId="24" fillId="5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left" vertical="center" wrapText="1"/>
    </xf>
    <xf numFmtId="164" fontId="23" fillId="6" borderId="1" xfId="0" applyNumberFormat="1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vertical="top" wrapText="1"/>
    </xf>
    <xf numFmtId="0" fontId="23" fillId="6" borderId="1" xfId="0" applyFont="1" applyFill="1" applyBorder="1"/>
    <xf numFmtId="165" fontId="28" fillId="3" borderId="1" xfId="0" applyNumberFormat="1" applyFont="1" applyFill="1" applyBorder="1" applyAlignment="1">
      <alignment horizontal="center" vertical="center" wrapText="1"/>
    </xf>
    <xf numFmtId="0" fontId="29" fillId="6" borderId="1" xfId="0" applyFont="1" applyFill="1" applyBorder="1"/>
    <xf numFmtId="0" fontId="25" fillId="8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center"/>
    </xf>
    <xf numFmtId="0" fontId="25" fillId="8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/>
    </xf>
    <xf numFmtId="0" fontId="25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1F3864"/>
      <color rgb="FF0E56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93081</xdr:colOff>
      <xdr:row>0</xdr:row>
      <xdr:rowOff>62752</xdr:rowOff>
    </xdr:from>
    <xdr:to>
      <xdr:col>2</xdr:col>
      <xdr:colOff>1003524</xdr:colOff>
      <xdr:row>1</xdr:row>
      <xdr:rowOff>541503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C57F0F-CE5E-DBA2-05DB-E9C4A93BC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81" y="62752"/>
          <a:ext cx="2900608" cy="7118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60960</xdr:rowOff>
    </xdr:from>
    <xdr:to>
      <xdr:col>3</xdr:col>
      <xdr:colOff>858448</xdr:colOff>
      <xdr:row>0</xdr:row>
      <xdr:rowOff>772793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62FA37-4BC3-46C7-BD42-E8EA8C28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60960"/>
          <a:ext cx="2900608" cy="7118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63650</xdr:colOff>
      <xdr:row>11</xdr:row>
      <xdr:rowOff>140877</xdr:rowOff>
    </xdr:from>
    <xdr:to>
      <xdr:col>17</xdr:col>
      <xdr:colOff>391310</xdr:colOff>
      <xdr:row>19</xdr:row>
      <xdr:rowOff>15239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394F88-650C-ECDF-A6D4-F84156016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3556" y="2722712"/>
          <a:ext cx="6002319" cy="14431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525780</xdr:colOff>
      <xdr:row>0</xdr:row>
      <xdr:rowOff>106680</xdr:rowOff>
    </xdr:from>
    <xdr:to>
      <xdr:col>3</xdr:col>
      <xdr:colOff>1437568</xdr:colOff>
      <xdr:row>0</xdr:row>
      <xdr:rowOff>818513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258643-D9A6-44AF-84A3-4A130DBD7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40" y="106680"/>
          <a:ext cx="2900608" cy="711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4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Y3" sqref="Y3"/>
    </sheetView>
  </sheetViews>
  <sheetFormatPr defaultColWidth="8.6640625" defaultRowHeight="14.4" x14ac:dyDescent="0.3"/>
  <cols>
    <col min="1" max="1" width="10" style="2" customWidth="1"/>
    <col min="2" max="2" width="22" style="2" customWidth="1"/>
    <col min="3" max="3" width="24" style="2" customWidth="1"/>
    <col min="4" max="4" width="20" style="2" customWidth="1"/>
    <col min="5" max="5" width="22" style="2" customWidth="1"/>
    <col min="6" max="8" width="13" style="2" customWidth="1"/>
    <col min="9" max="9" width="30" style="2" customWidth="1"/>
    <col min="10" max="10" width="46" style="2" customWidth="1"/>
    <col min="11" max="11" width="22" style="2" customWidth="1"/>
    <col min="12" max="12" width="14" style="2" customWidth="1"/>
    <col min="13" max="13" width="26" style="2" customWidth="1"/>
    <col min="14" max="14" width="34" style="2" customWidth="1"/>
    <col min="15" max="15" width="24" style="2" customWidth="1"/>
    <col min="16" max="16" width="12" style="2" customWidth="1"/>
    <col min="17" max="17" width="16" style="2" customWidth="1"/>
    <col min="18" max="18" width="34" style="2" customWidth="1"/>
    <col min="19" max="19" width="12" style="2" customWidth="1"/>
    <col min="20" max="20" width="46" style="2" customWidth="1"/>
    <col min="21" max="21" width="34" style="2" customWidth="1"/>
    <col min="22" max="22" width="40" style="2" customWidth="1"/>
    <col min="23" max="16384" width="8.6640625" style="2"/>
  </cols>
  <sheetData>
    <row r="1" spans="1:23" ht="42" customHeight="1" x14ac:dyDescent="0.3">
      <c r="A1" s="50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0" t="s">
        <v>8</v>
      </c>
      <c r="J1" s="50" t="s">
        <v>9</v>
      </c>
      <c r="K1" s="50" t="s">
        <v>10</v>
      </c>
      <c r="L1" s="50" t="s">
        <v>11</v>
      </c>
      <c r="M1" s="50" t="s">
        <v>12</v>
      </c>
      <c r="N1" s="50" t="s">
        <v>13</v>
      </c>
      <c r="O1" s="50" t="s">
        <v>14</v>
      </c>
      <c r="P1" s="50" t="s">
        <v>15</v>
      </c>
      <c r="Q1" s="50" t="s">
        <v>16</v>
      </c>
      <c r="R1" s="50" t="s">
        <v>17</v>
      </c>
      <c r="S1" s="50" t="s">
        <v>18</v>
      </c>
      <c r="T1" s="50" t="s">
        <v>19</v>
      </c>
      <c r="U1" s="50" t="s">
        <v>20</v>
      </c>
      <c r="V1" s="50" t="s">
        <v>21</v>
      </c>
      <c r="W1" s="14"/>
    </row>
    <row r="2" spans="1:23" ht="120" customHeight="1" x14ac:dyDescent="0.3">
      <c r="A2" s="53" t="s">
        <v>22</v>
      </c>
      <c r="B2" s="53" t="s">
        <v>23</v>
      </c>
      <c r="C2" s="53" t="s">
        <v>24</v>
      </c>
      <c r="D2" s="53" t="s">
        <v>25</v>
      </c>
      <c r="E2" s="53" t="s">
        <v>26</v>
      </c>
      <c r="F2" s="63">
        <v>40288</v>
      </c>
      <c r="G2" s="63">
        <v>40289</v>
      </c>
      <c r="H2" s="63">
        <v>40288</v>
      </c>
      <c r="I2" s="53" t="s">
        <v>27</v>
      </c>
      <c r="J2" s="53" t="s">
        <v>28</v>
      </c>
      <c r="K2" s="53" t="s">
        <v>29</v>
      </c>
      <c r="L2" s="53" t="s">
        <v>30</v>
      </c>
      <c r="M2" s="53" t="s">
        <v>31</v>
      </c>
      <c r="N2" s="53" t="s">
        <v>32</v>
      </c>
      <c r="O2" s="53" t="s">
        <v>33</v>
      </c>
      <c r="P2" s="53" t="s">
        <v>34</v>
      </c>
      <c r="Q2" s="53" t="s">
        <v>34</v>
      </c>
      <c r="R2" s="53" t="s">
        <v>35</v>
      </c>
      <c r="S2" s="53" t="s">
        <v>36</v>
      </c>
      <c r="T2" s="64" t="s">
        <v>37</v>
      </c>
      <c r="U2" s="53" t="s">
        <v>38</v>
      </c>
      <c r="V2" s="64" t="s">
        <v>39</v>
      </c>
      <c r="W2" s="14"/>
    </row>
    <row r="3" spans="1:23" ht="120" customHeight="1" x14ac:dyDescent="0.3">
      <c r="A3" s="53" t="s">
        <v>40</v>
      </c>
      <c r="B3" s="53" t="s">
        <v>41</v>
      </c>
      <c r="C3" s="53" t="s">
        <v>42</v>
      </c>
      <c r="D3" s="53" t="s">
        <v>25</v>
      </c>
      <c r="E3" s="53" t="s">
        <v>43</v>
      </c>
      <c r="F3" s="63">
        <v>32591</v>
      </c>
      <c r="G3" s="63">
        <v>32591</v>
      </c>
      <c r="H3" s="63">
        <v>32590</v>
      </c>
      <c r="I3" s="53" t="s">
        <v>44</v>
      </c>
      <c r="J3" s="53" t="s">
        <v>45</v>
      </c>
      <c r="K3" s="53" t="s">
        <v>46</v>
      </c>
      <c r="L3" s="53" t="s">
        <v>47</v>
      </c>
      <c r="M3" s="53" t="s">
        <v>48</v>
      </c>
      <c r="N3" s="53" t="s">
        <v>49</v>
      </c>
      <c r="O3" s="53" t="s">
        <v>50</v>
      </c>
      <c r="P3" s="53" t="s">
        <v>51</v>
      </c>
      <c r="Q3" s="53" t="s">
        <v>52</v>
      </c>
      <c r="R3" s="53" t="s">
        <v>53</v>
      </c>
      <c r="S3" s="53" t="s">
        <v>54</v>
      </c>
      <c r="T3" s="64" t="s">
        <v>55</v>
      </c>
      <c r="U3" s="53" t="s">
        <v>56</v>
      </c>
      <c r="V3" s="64" t="s">
        <v>57</v>
      </c>
      <c r="W3" s="14"/>
    </row>
    <row r="4" spans="1:23" ht="120" customHeight="1" x14ac:dyDescent="0.3">
      <c r="A4" s="53" t="s">
        <v>58</v>
      </c>
      <c r="B4" s="53" t="s">
        <v>59</v>
      </c>
      <c r="C4" s="53" t="s">
        <v>60</v>
      </c>
      <c r="D4" s="53" t="s">
        <v>61</v>
      </c>
      <c r="E4" s="53" t="s">
        <v>62</v>
      </c>
      <c r="F4" s="63">
        <v>40288</v>
      </c>
      <c r="G4" s="63">
        <v>40289</v>
      </c>
      <c r="H4" s="63">
        <v>40288</v>
      </c>
      <c r="I4" s="53" t="s">
        <v>63</v>
      </c>
      <c r="J4" s="53" t="s">
        <v>64</v>
      </c>
      <c r="K4" s="53" t="s">
        <v>65</v>
      </c>
      <c r="L4" s="53" t="s">
        <v>66</v>
      </c>
      <c r="M4" s="53" t="s">
        <v>67</v>
      </c>
      <c r="N4" s="53" t="s">
        <v>68</v>
      </c>
      <c r="O4" s="53" t="s">
        <v>69</v>
      </c>
      <c r="P4" s="53" t="s">
        <v>34</v>
      </c>
      <c r="Q4" s="53" t="s">
        <v>34</v>
      </c>
      <c r="R4" s="53" t="s">
        <v>70</v>
      </c>
      <c r="S4" s="53" t="s">
        <v>71</v>
      </c>
      <c r="T4" s="64" t="s">
        <v>72</v>
      </c>
      <c r="U4" s="53" t="s">
        <v>73</v>
      </c>
      <c r="V4" s="64" t="s">
        <v>74</v>
      </c>
      <c r="W4" s="14"/>
    </row>
    <row r="5" spans="1:23" ht="120" customHeight="1" x14ac:dyDescent="0.3">
      <c r="A5" s="53" t="s">
        <v>75</v>
      </c>
      <c r="B5" s="53" t="s">
        <v>76</v>
      </c>
      <c r="C5" s="53" t="s">
        <v>77</v>
      </c>
      <c r="D5" s="53" t="s">
        <v>78</v>
      </c>
      <c r="E5" s="53" t="s">
        <v>79</v>
      </c>
      <c r="F5" s="63">
        <v>40384</v>
      </c>
      <c r="G5" s="63">
        <v>40385</v>
      </c>
      <c r="H5" s="63">
        <v>40382</v>
      </c>
      <c r="I5" s="53" t="s">
        <v>80</v>
      </c>
      <c r="J5" s="53" t="s">
        <v>81</v>
      </c>
      <c r="K5" s="53" t="s">
        <v>82</v>
      </c>
      <c r="L5" s="53" t="s">
        <v>83</v>
      </c>
      <c r="M5" s="53" t="s">
        <v>84</v>
      </c>
      <c r="N5" s="53" t="s">
        <v>85</v>
      </c>
      <c r="O5" s="53" t="s">
        <v>50</v>
      </c>
      <c r="P5" s="53" t="s">
        <v>34</v>
      </c>
      <c r="Q5" s="53" t="s">
        <v>52</v>
      </c>
      <c r="R5" s="53" t="s">
        <v>86</v>
      </c>
      <c r="S5" s="53" t="s">
        <v>54</v>
      </c>
      <c r="T5" s="64" t="s">
        <v>87</v>
      </c>
      <c r="U5" s="53" t="s">
        <v>88</v>
      </c>
      <c r="V5" s="64" t="s">
        <v>89</v>
      </c>
      <c r="W5" s="14"/>
    </row>
    <row r="6" spans="1:23" ht="120" customHeight="1" x14ac:dyDescent="0.3">
      <c r="A6" s="53" t="s">
        <v>90</v>
      </c>
      <c r="B6" s="53" t="s">
        <v>91</v>
      </c>
      <c r="C6" s="53" t="s">
        <v>92</v>
      </c>
      <c r="D6" s="53" t="s">
        <v>93</v>
      </c>
      <c r="E6" s="53" t="s">
        <v>94</v>
      </c>
      <c r="F6" s="63">
        <v>42143</v>
      </c>
      <c r="G6" s="63">
        <v>42143</v>
      </c>
      <c r="H6" s="63">
        <v>42142</v>
      </c>
      <c r="I6" s="53" t="s">
        <v>95</v>
      </c>
      <c r="J6" s="53" t="s">
        <v>96</v>
      </c>
      <c r="K6" s="53" t="s">
        <v>97</v>
      </c>
      <c r="L6" s="53" t="s">
        <v>83</v>
      </c>
      <c r="M6" s="53" t="s">
        <v>98</v>
      </c>
      <c r="N6" s="53" t="s">
        <v>99</v>
      </c>
      <c r="O6" s="53" t="s">
        <v>100</v>
      </c>
      <c r="P6" s="53" t="s">
        <v>101</v>
      </c>
      <c r="Q6" s="53" t="s">
        <v>54</v>
      </c>
      <c r="R6" s="53" t="s">
        <v>102</v>
      </c>
      <c r="S6" s="53" t="s">
        <v>103</v>
      </c>
      <c r="T6" s="64" t="s">
        <v>104</v>
      </c>
      <c r="U6" s="53" t="s">
        <v>105</v>
      </c>
      <c r="V6" s="64" t="s">
        <v>106</v>
      </c>
      <c r="W6" s="14"/>
    </row>
    <row r="7" spans="1:23" ht="120" customHeight="1" x14ac:dyDescent="0.3">
      <c r="A7" s="53" t="s">
        <v>107</v>
      </c>
      <c r="B7" s="53" t="s">
        <v>108</v>
      </c>
      <c r="C7" s="53" t="s">
        <v>109</v>
      </c>
      <c r="D7" s="53" t="s">
        <v>110</v>
      </c>
      <c r="E7" s="53" t="s">
        <v>111</v>
      </c>
      <c r="F7" s="63">
        <v>39423</v>
      </c>
      <c r="G7" s="63">
        <v>39423</v>
      </c>
      <c r="H7" s="63">
        <v>39422</v>
      </c>
      <c r="I7" s="53" t="s">
        <v>112</v>
      </c>
      <c r="J7" s="53" t="s">
        <v>113</v>
      </c>
      <c r="K7" s="53" t="s">
        <v>114</v>
      </c>
      <c r="L7" s="53" t="s">
        <v>83</v>
      </c>
      <c r="M7" s="53" t="s">
        <v>115</v>
      </c>
      <c r="N7" s="53" t="s">
        <v>116</v>
      </c>
      <c r="O7" s="53" t="s">
        <v>117</v>
      </c>
      <c r="P7" s="53" t="s">
        <v>51</v>
      </c>
      <c r="Q7" s="53" t="s">
        <v>51</v>
      </c>
      <c r="R7" s="53" t="s">
        <v>118</v>
      </c>
      <c r="S7" s="53" t="s">
        <v>119</v>
      </c>
      <c r="T7" s="64" t="s">
        <v>120</v>
      </c>
      <c r="U7" s="53" t="s">
        <v>121</v>
      </c>
      <c r="V7" s="64" t="s">
        <v>122</v>
      </c>
      <c r="W7" s="14"/>
    </row>
    <row r="8" spans="1:23" ht="120" customHeight="1" x14ac:dyDescent="0.3">
      <c r="A8" s="53" t="s">
        <v>123</v>
      </c>
      <c r="B8" s="53" t="s">
        <v>124</v>
      </c>
      <c r="C8" s="53" t="s">
        <v>125</v>
      </c>
      <c r="D8" s="53" t="s">
        <v>126</v>
      </c>
      <c r="E8" s="53" t="s">
        <v>127</v>
      </c>
      <c r="F8" s="63">
        <v>44037</v>
      </c>
      <c r="G8" s="63">
        <v>44049</v>
      </c>
      <c r="H8" s="63">
        <v>44048</v>
      </c>
      <c r="I8" s="53" t="s">
        <v>128</v>
      </c>
      <c r="J8" s="53" t="s">
        <v>129</v>
      </c>
      <c r="K8" s="53" t="s">
        <v>130</v>
      </c>
      <c r="L8" s="53" t="s">
        <v>83</v>
      </c>
      <c r="M8" s="53" t="s">
        <v>131</v>
      </c>
      <c r="N8" s="53" t="s">
        <v>132</v>
      </c>
      <c r="O8" s="53" t="s">
        <v>133</v>
      </c>
      <c r="P8" s="53" t="s">
        <v>51</v>
      </c>
      <c r="Q8" s="53" t="s">
        <v>51</v>
      </c>
      <c r="R8" s="53" t="s">
        <v>134</v>
      </c>
      <c r="S8" s="53" t="s">
        <v>119</v>
      </c>
      <c r="T8" s="64" t="s">
        <v>135</v>
      </c>
      <c r="U8" s="53" t="s">
        <v>136</v>
      </c>
      <c r="V8" s="64" t="s">
        <v>137</v>
      </c>
      <c r="W8" s="14"/>
    </row>
    <row r="9" spans="1:23" ht="120" customHeight="1" x14ac:dyDescent="0.3">
      <c r="A9" s="53" t="s">
        <v>138</v>
      </c>
      <c r="B9" s="53" t="s">
        <v>139</v>
      </c>
      <c r="C9" s="53" t="s">
        <v>140</v>
      </c>
      <c r="D9" s="53" t="s">
        <v>141</v>
      </c>
      <c r="E9" s="53" t="s">
        <v>142</v>
      </c>
      <c r="F9" s="63">
        <v>43980</v>
      </c>
      <c r="G9" s="63">
        <v>43985</v>
      </c>
      <c r="H9" s="63">
        <v>43984</v>
      </c>
      <c r="I9" s="53" t="s">
        <v>143</v>
      </c>
      <c r="J9" s="53" t="s">
        <v>144</v>
      </c>
      <c r="K9" s="53" t="s">
        <v>145</v>
      </c>
      <c r="L9" s="53" t="s">
        <v>83</v>
      </c>
      <c r="M9" s="53" t="s">
        <v>146</v>
      </c>
      <c r="N9" s="53" t="s">
        <v>147</v>
      </c>
      <c r="O9" s="53" t="s">
        <v>148</v>
      </c>
      <c r="P9" s="53" t="s">
        <v>52</v>
      </c>
      <c r="Q9" s="53" t="s">
        <v>52</v>
      </c>
      <c r="R9" s="53" t="s">
        <v>149</v>
      </c>
      <c r="S9" s="53" t="s">
        <v>119</v>
      </c>
      <c r="T9" s="64" t="s">
        <v>150</v>
      </c>
      <c r="U9" s="53" t="s">
        <v>151</v>
      </c>
      <c r="V9" s="64" t="s">
        <v>152</v>
      </c>
      <c r="W9" s="14"/>
    </row>
    <row r="10" spans="1:23" ht="120" customHeight="1" x14ac:dyDescent="0.3">
      <c r="A10" s="53" t="s">
        <v>153</v>
      </c>
      <c r="B10" s="53" t="s">
        <v>154</v>
      </c>
      <c r="C10" s="53" t="s">
        <v>155</v>
      </c>
      <c r="D10" s="53" t="s">
        <v>156</v>
      </c>
      <c r="E10" s="53" t="s">
        <v>157</v>
      </c>
      <c r="F10" s="63">
        <v>40046</v>
      </c>
      <c r="G10" s="63">
        <v>40046</v>
      </c>
      <c r="H10" s="63">
        <v>40045</v>
      </c>
      <c r="I10" s="53" t="s">
        <v>158</v>
      </c>
      <c r="J10" s="53" t="s">
        <v>159</v>
      </c>
      <c r="K10" s="53" t="s">
        <v>160</v>
      </c>
      <c r="L10" s="53" t="s">
        <v>83</v>
      </c>
      <c r="M10" s="53" t="s">
        <v>161</v>
      </c>
      <c r="N10" s="53" t="s">
        <v>162</v>
      </c>
      <c r="O10" s="53" t="s">
        <v>163</v>
      </c>
      <c r="P10" s="53" t="s">
        <v>51</v>
      </c>
      <c r="Q10" s="53" t="s">
        <v>51</v>
      </c>
      <c r="R10" s="53" t="s">
        <v>164</v>
      </c>
      <c r="S10" s="53" t="s">
        <v>119</v>
      </c>
      <c r="T10" s="64" t="s">
        <v>165</v>
      </c>
      <c r="U10" s="53" t="s">
        <v>166</v>
      </c>
      <c r="V10" s="64" t="s">
        <v>167</v>
      </c>
      <c r="W10" s="14"/>
    </row>
    <row r="11" spans="1:23" ht="120" customHeight="1" x14ac:dyDescent="0.3">
      <c r="A11" s="53" t="s">
        <v>168</v>
      </c>
      <c r="B11" s="53" t="s">
        <v>169</v>
      </c>
      <c r="C11" s="53" t="s">
        <v>170</v>
      </c>
      <c r="D11" s="53" t="s">
        <v>171</v>
      </c>
      <c r="E11" s="53" t="s">
        <v>172</v>
      </c>
      <c r="F11" s="63">
        <v>40288</v>
      </c>
      <c r="G11" s="63">
        <v>40289</v>
      </c>
      <c r="H11" s="63">
        <v>40288</v>
      </c>
      <c r="I11" s="53" t="s">
        <v>63</v>
      </c>
      <c r="J11" s="53" t="s">
        <v>173</v>
      </c>
      <c r="K11" s="53" t="s">
        <v>65</v>
      </c>
      <c r="L11" s="53" t="s">
        <v>174</v>
      </c>
      <c r="M11" s="53" t="s">
        <v>175</v>
      </c>
      <c r="N11" s="53" t="s">
        <v>176</v>
      </c>
      <c r="O11" s="53" t="s">
        <v>177</v>
      </c>
      <c r="P11" s="53" t="s">
        <v>34</v>
      </c>
      <c r="Q11" s="53" t="s">
        <v>52</v>
      </c>
      <c r="R11" s="53" t="s">
        <v>178</v>
      </c>
      <c r="S11" s="53" t="s">
        <v>179</v>
      </c>
      <c r="T11" s="64" t="s">
        <v>180</v>
      </c>
      <c r="U11" s="53" t="s">
        <v>181</v>
      </c>
      <c r="V11" s="64" t="s">
        <v>182</v>
      </c>
      <c r="W11" s="14"/>
    </row>
    <row r="12" spans="1:23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19"/>
  <sheetViews>
    <sheetView showGridLines="0" tabSelected="1" zoomScale="85" zoomScaleNormal="85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W24" sqref="W24"/>
    </sheetView>
  </sheetViews>
  <sheetFormatPr defaultColWidth="8.6640625" defaultRowHeight="14.4" x14ac:dyDescent="0.3"/>
  <cols>
    <col min="1" max="1" width="11" style="2" customWidth="1"/>
    <col min="2" max="3" width="18" style="2" customWidth="1"/>
    <col min="4" max="4" width="14.33203125" style="2" customWidth="1"/>
    <col min="5" max="5" width="13.77734375" style="2" customWidth="1"/>
    <col min="6" max="6" width="20" style="2" customWidth="1"/>
    <col min="7" max="7" width="18" style="2" customWidth="1"/>
    <col min="8" max="8" width="16.5546875" style="2" customWidth="1"/>
    <col min="9" max="11" width="13" style="2" customWidth="1"/>
    <col min="12" max="12" width="11" style="2" customWidth="1"/>
    <col min="13" max="13" width="23.6640625" style="2" customWidth="1"/>
    <col min="14" max="26" width="11" style="2" customWidth="1"/>
    <col min="27" max="27" width="20" style="2" customWidth="1"/>
    <col min="28" max="46" width="11" style="2" customWidth="1"/>
    <col min="47" max="47" width="20" style="2" customWidth="1"/>
    <col min="48" max="67" width="11" style="2" customWidth="1"/>
    <col min="68" max="68" width="13" style="2" customWidth="1"/>
    <col min="69" max="69" width="11" style="2" customWidth="1"/>
    <col min="70" max="70" width="13" style="2" customWidth="1"/>
    <col min="71" max="74" width="11" style="2" customWidth="1"/>
    <col min="75" max="75" width="13" style="2" customWidth="1"/>
    <col min="76" max="77" width="11" style="2" customWidth="1"/>
    <col min="78" max="78" width="14" style="2" customWidth="1"/>
    <col min="79" max="80" width="34" style="2" customWidth="1"/>
    <col min="81" max="16384" width="8.6640625" style="2"/>
  </cols>
  <sheetData>
    <row r="1" spans="1:82" ht="18.600000000000001" customHeight="1" x14ac:dyDescent="0.4">
      <c r="A1" s="38"/>
      <c r="B1" s="38"/>
      <c r="C1" s="38"/>
      <c r="D1" s="40" t="s">
        <v>183</v>
      </c>
      <c r="E1" s="34"/>
      <c r="F1" s="34"/>
      <c r="G1" s="34"/>
      <c r="H1" s="34"/>
      <c r="I1" s="34"/>
      <c r="J1" s="34"/>
      <c r="K1" s="34"/>
      <c r="L1" s="34"/>
      <c r="M1" s="35"/>
      <c r="N1" s="40" t="s">
        <v>184</v>
      </c>
      <c r="O1" s="42"/>
      <c r="P1" s="42"/>
      <c r="Q1" s="42"/>
      <c r="R1" s="42"/>
      <c r="S1" s="42"/>
      <c r="T1" s="43"/>
      <c r="U1" s="40" t="s">
        <v>185</v>
      </c>
      <c r="V1" s="34"/>
      <c r="W1" s="34"/>
      <c r="X1" s="34"/>
      <c r="Y1" s="34"/>
      <c r="Z1" s="35"/>
      <c r="AA1" s="40" t="s">
        <v>435</v>
      </c>
      <c r="AB1" s="34"/>
      <c r="AC1" s="34"/>
      <c r="AD1" s="34"/>
      <c r="AE1" s="34"/>
      <c r="AF1" s="34"/>
      <c r="AG1" s="34"/>
      <c r="AH1" s="35"/>
      <c r="AI1" s="40" t="s">
        <v>186</v>
      </c>
      <c r="AJ1" s="34"/>
      <c r="AK1" s="34"/>
      <c r="AL1" s="34"/>
      <c r="AM1" s="34"/>
      <c r="AN1" s="35"/>
      <c r="AO1" s="40" t="s">
        <v>187</v>
      </c>
      <c r="AP1" s="34"/>
      <c r="AQ1" s="34"/>
      <c r="AR1" s="34"/>
      <c r="AS1" s="34"/>
      <c r="AT1" s="35"/>
      <c r="AU1" s="40" t="s">
        <v>436</v>
      </c>
      <c r="AV1" s="34"/>
      <c r="AW1" s="34"/>
      <c r="AX1" s="34"/>
      <c r="AY1" s="34"/>
      <c r="AZ1" s="34"/>
      <c r="BA1" s="34"/>
      <c r="BB1" s="35"/>
      <c r="BC1" s="40" t="s">
        <v>188</v>
      </c>
      <c r="BD1" s="34"/>
      <c r="BE1" s="34"/>
      <c r="BF1" s="34"/>
      <c r="BG1" s="34"/>
      <c r="BH1" s="35"/>
      <c r="BI1" s="40" t="s">
        <v>189</v>
      </c>
      <c r="BJ1" s="34"/>
      <c r="BK1" s="34"/>
      <c r="BL1" s="34"/>
      <c r="BM1" s="34"/>
      <c r="BN1" s="35"/>
      <c r="BO1" s="40" t="s">
        <v>190</v>
      </c>
      <c r="BP1" s="34"/>
      <c r="BQ1" s="34"/>
      <c r="BR1" s="40" t="s">
        <v>191</v>
      </c>
      <c r="BS1" s="34"/>
      <c r="BT1" s="34"/>
      <c r="BU1" s="34"/>
      <c r="BV1" s="34"/>
      <c r="BW1" s="34"/>
      <c r="BX1" s="35"/>
      <c r="BY1" s="34" t="s">
        <v>192</v>
      </c>
      <c r="BZ1" s="34"/>
      <c r="CA1" s="34"/>
      <c r="CB1" s="35"/>
      <c r="CC1" s="15"/>
      <c r="CD1" s="15"/>
    </row>
    <row r="2" spans="1:82" s="16" customFormat="1" ht="50.4" customHeight="1" thickBot="1" x14ac:dyDescent="0.45">
      <c r="A2" s="39"/>
      <c r="B2" s="39"/>
      <c r="C2" s="39"/>
      <c r="D2" s="41"/>
      <c r="E2" s="36"/>
      <c r="F2" s="36"/>
      <c r="G2" s="36"/>
      <c r="H2" s="36"/>
      <c r="I2" s="36"/>
      <c r="J2" s="36"/>
      <c r="K2" s="36"/>
      <c r="L2" s="36"/>
      <c r="M2" s="37"/>
      <c r="N2" s="44"/>
      <c r="O2" s="45"/>
      <c r="P2" s="45"/>
      <c r="Q2" s="45"/>
      <c r="R2" s="45"/>
      <c r="S2" s="45"/>
      <c r="T2" s="46"/>
      <c r="U2" s="41"/>
      <c r="V2" s="36"/>
      <c r="W2" s="36"/>
      <c r="X2" s="36"/>
      <c r="Y2" s="36"/>
      <c r="Z2" s="37"/>
      <c r="AA2" s="41"/>
      <c r="AB2" s="36"/>
      <c r="AC2" s="36"/>
      <c r="AD2" s="36"/>
      <c r="AE2" s="36"/>
      <c r="AF2" s="36"/>
      <c r="AG2" s="36"/>
      <c r="AH2" s="37"/>
      <c r="AI2" s="41"/>
      <c r="AJ2" s="36"/>
      <c r="AK2" s="36"/>
      <c r="AL2" s="36"/>
      <c r="AM2" s="36"/>
      <c r="AN2" s="37"/>
      <c r="AO2" s="41"/>
      <c r="AP2" s="36"/>
      <c r="AQ2" s="36"/>
      <c r="AR2" s="36"/>
      <c r="AS2" s="36"/>
      <c r="AT2" s="37"/>
      <c r="AU2" s="41"/>
      <c r="AV2" s="36"/>
      <c r="AW2" s="36"/>
      <c r="AX2" s="36"/>
      <c r="AY2" s="36"/>
      <c r="AZ2" s="36"/>
      <c r="BA2" s="36"/>
      <c r="BB2" s="37"/>
      <c r="BC2" s="41"/>
      <c r="BD2" s="36"/>
      <c r="BE2" s="36"/>
      <c r="BF2" s="36"/>
      <c r="BG2" s="36"/>
      <c r="BH2" s="37"/>
      <c r="BI2" s="41"/>
      <c r="BJ2" s="36"/>
      <c r="BK2" s="36"/>
      <c r="BL2" s="36"/>
      <c r="BM2" s="36"/>
      <c r="BN2" s="37"/>
      <c r="BO2" s="41"/>
      <c r="BP2" s="36"/>
      <c r="BQ2" s="36"/>
      <c r="BR2" s="41"/>
      <c r="BS2" s="36"/>
      <c r="BT2" s="36"/>
      <c r="BU2" s="36"/>
      <c r="BV2" s="36"/>
      <c r="BW2" s="36"/>
      <c r="BX2" s="37"/>
      <c r="BY2" s="36"/>
      <c r="BZ2" s="36"/>
      <c r="CA2" s="36"/>
      <c r="CB2" s="37"/>
      <c r="CC2" s="15"/>
      <c r="CD2" s="15"/>
    </row>
    <row r="3" spans="1:82" s="16" customFormat="1" ht="39.75" customHeight="1" x14ac:dyDescent="0.4">
      <c r="A3" s="3" t="s">
        <v>0</v>
      </c>
      <c r="B3" s="3" t="s">
        <v>1</v>
      </c>
      <c r="C3" s="3" t="s">
        <v>2</v>
      </c>
      <c r="D3" s="17" t="s">
        <v>193</v>
      </c>
      <c r="E3" s="17" t="s">
        <v>194</v>
      </c>
      <c r="F3" s="17" t="s">
        <v>195</v>
      </c>
      <c r="G3" s="17" t="s">
        <v>4</v>
      </c>
      <c r="H3" s="17" t="s">
        <v>196</v>
      </c>
      <c r="I3" s="17" t="s">
        <v>5</v>
      </c>
      <c r="J3" s="17" t="s">
        <v>197</v>
      </c>
      <c r="K3" s="17" t="s">
        <v>198</v>
      </c>
      <c r="L3" s="17" t="s">
        <v>199</v>
      </c>
      <c r="M3" s="17" t="s">
        <v>200</v>
      </c>
      <c r="N3" s="17" t="s">
        <v>201</v>
      </c>
      <c r="O3" s="17" t="s">
        <v>202</v>
      </c>
      <c r="P3" s="17" t="s">
        <v>203</v>
      </c>
      <c r="Q3" s="17" t="s">
        <v>204</v>
      </c>
      <c r="R3" s="17" t="s">
        <v>205</v>
      </c>
      <c r="S3" s="17" t="s">
        <v>206</v>
      </c>
      <c r="T3" s="17" t="s">
        <v>207</v>
      </c>
      <c r="U3" s="17" t="s">
        <v>208</v>
      </c>
      <c r="V3" s="17" t="s">
        <v>209</v>
      </c>
      <c r="W3" s="17" t="s">
        <v>210</v>
      </c>
      <c r="X3" s="17" t="s">
        <v>211</v>
      </c>
      <c r="Y3" s="17" t="s">
        <v>212</v>
      </c>
      <c r="Z3" s="17" t="s">
        <v>213</v>
      </c>
      <c r="AA3" s="17" t="s">
        <v>214</v>
      </c>
      <c r="AB3" s="17" t="s">
        <v>215</v>
      </c>
      <c r="AC3" s="17" t="s">
        <v>216</v>
      </c>
      <c r="AD3" s="17" t="s">
        <v>217</v>
      </c>
      <c r="AE3" s="17" t="s">
        <v>218</v>
      </c>
      <c r="AF3" s="17" t="s">
        <v>219</v>
      </c>
      <c r="AG3" s="17" t="s">
        <v>220</v>
      </c>
      <c r="AH3" s="17" t="s">
        <v>221</v>
      </c>
      <c r="AI3" s="17" t="s">
        <v>222</v>
      </c>
      <c r="AJ3" s="17" t="s">
        <v>223</v>
      </c>
      <c r="AK3" s="17" t="s">
        <v>224</v>
      </c>
      <c r="AL3" s="17" t="s">
        <v>225</v>
      </c>
      <c r="AM3" s="17" t="s">
        <v>226</v>
      </c>
      <c r="AN3" s="17" t="s">
        <v>227</v>
      </c>
      <c r="AO3" s="17" t="s">
        <v>228</v>
      </c>
      <c r="AP3" s="17" t="s">
        <v>229</v>
      </c>
      <c r="AQ3" s="17" t="s">
        <v>230</v>
      </c>
      <c r="AR3" s="17" t="s">
        <v>231</v>
      </c>
      <c r="AS3" s="17" t="s">
        <v>232</v>
      </c>
      <c r="AT3" s="17" t="s">
        <v>233</v>
      </c>
      <c r="AU3" s="17" t="s">
        <v>234</v>
      </c>
      <c r="AV3" s="17" t="s">
        <v>235</v>
      </c>
      <c r="AW3" s="17" t="s">
        <v>236</v>
      </c>
      <c r="AX3" s="17" t="s">
        <v>237</v>
      </c>
      <c r="AY3" s="17" t="s">
        <v>238</v>
      </c>
      <c r="AZ3" s="17" t="s">
        <v>239</v>
      </c>
      <c r="BA3" s="17" t="s">
        <v>240</v>
      </c>
      <c r="BB3" s="17" t="s">
        <v>241</v>
      </c>
      <c r="BC3" s="17" t="s">
        <v>242</v>
      </c>
      <c r="BD3" s="17" t="s">
        <v>243</v>
      </c>
      <c r="BE3" s="17" t="s">
        <v>244</v>
      </c>
      <c r="BF3" s="17" t="s">
        <v>245</v>
      </c>
      <c r="BG3" s="17" t="s">
        <v>246</v>
      </c>
      <c r="BH3" s="17" t="s">
        <v>247</v>
      </c>
      <c r="BI3" s="17" t="s">
        <v>248</v>
      </c>
      <c r="BJ3" s="17" t="s">
        <v>249</v>
      </c>
      <c r="BK3" s="17" t="s">
        <v>250</v>
      </c>
      <c r="BL3" s="17" t="s">
        <v>251</v>
      </c>
      <c r="BM3" s="17" t="s">
        <v>252</v>
      </c>
      <c r="BN3" s="17" t="s">
        <v>253</v>
      </c>
      <c r="BO3" s="17" t="s">
        <v>254</v>
      </c>
      <c r="BP3" s="17" t="s">
        <v>255</v>
      </c>
      <c r="BQ3" s="17" t="s">
        <v>256</v>
      </c>
      <c r="BR3" s="17" t="s">
        <v>257</v>
      </c>
      <c r="BS3" s="17" t="s">
        <v>258</v>
      </c>
      <c r="BT3" s="17" t="s">
        <v>259</v>
      </c>
      <c r="BU3" s="17" t="s">
        <v>260</v>
      </c>
      <c r="BV3" s="17" t="s">
        <v>261</v>
      </c>
      <c r="BW3" s="17" t="s">
        <v>262</v>
      </c>
      <c r="BX3" s="17" t="s">
        <v>263</v>
      </c>
      <c r="BY3" s="17" t="s">
        <v>264</v>
      </c>
      <c r="BZ3" s="17" t="s">
        <v>265</v>
      </c>
      <c r="CA3" s="17" t="s">
        <v>266</v>
      </c>
      <c r="CB3" s="17" t="s">
        <v>267</v>
      </c>
      <c r="CC3" s="15"/>
      <c r="CD3" s="15"/>
    </row>
    <row r="4" spans="1:82" s="16" customFormat="1" ht="67.2" customHeight="1" x14ac:dyDescent="0.4">
      <c r="A4" s="4" t="s">
        <v>22</v>
      </c>
      <c r="B4" s="4" t="s">
        <v>23</v>
      </c>
      <c r="C4" s="4" t="s">
        <v>24</v>
      </c>
      <c r="D4" s="4" t="s">
        <v>268</v>
      </c>
      <c r="E4" s="4" t="s">
        <v>269</v>
      </c>
      <c r="F4" s="4" t="s">
        <v>270</v>
      </c>
      <c r="G4" s="4" t="s">
        <v>26</v>
      </c>
      <c r="H4" s="4" t="s">
        <v>25</v>
      </c>
      <c r="I4" s="5">
        <v>40288</v>
      </c>
      <c r="J4" s="5">
        <v>40289</v>
      </c>
      <c r="K4" s="13">
        <v>40288</v>
      </c>
      <c r="L4" s="4" t="s">
        <v>271</v>
      </c>
      <c r="M4" s="4" t="s">
        <v>272</v>
      </c>
      <c r="N4" s="12">
        <v>60.48</v>
      </c>
      <c r="O4" s="12">
        <v>60.1</v>
      </c>
      <c r="P4" s="12">
        <v>44.55</v>
      </c>
      <c r="Q4" s="12">
        <v>36.4</v>
      </c>
      <c r="R4" s="12">
        <v>41.1</v>
      </c>
      <c r="S4" s="12">
        <v>43.68</v>
      </c>
      <c r="T4" s="12">
        <v>45.91</v>
      </c>
      <c r="U4" s="8">
        <f t="shared" ref="U4:U13" si="0">IF(OR(N4="",O4=""),"",O4/N4-1)</f>
        <v>-6.2830687830687237E-3</v>
      </c>
      <c r="V4" s="8">
        <f t="shared" ref="V4:V13" si="1">IF(OR(N4="",P4=""),"",P4/N4-1)</f>
        <v>-0.26339285714285721</v>
      </c>
      <c r="W4" s="8">
        <f t="shared" ref="W4:W13" si="2">IF(OR(N4="",Q4=""),"",Q4/N4-1)</f>
        <v>-0.39814814814814814</v>
      </c>
      <c r="X4" s="8">
        <f t="shared" ref="X4:X13" si="3">IF(OR(N4="",R4=""),"",R4/N4-1)</f>
        <v>-0.32043650793650791</v>
      </c>
      <c r="Y4" s="8">
        <f t="shared" ref="Y4:Y13" si="4">IF(OR(N4="",S4=""),"",S4/N4-1)</f>
        <v>-0.27777777777777779</v>
      </c>
      <c r="Z4" s="8">
        <f t="shared" ref="Z4:Z13" si="5">IF(OR(N4="",T4=""),"",T4/N4-1)</f>
        <v>-0.24090608465608465</v>
      </c>
      <c r="AA4" s="4" t="s">
        <v>273</v>
      </c>
      <c r="AB4" s="12">
        <v>1207.17</v>
      </c>
      <c r="AC4" s="12">
        <v>1208.67</v>
      </c>
      <c r="AD4" s="12">
        <v>1087.6899000000001</v>
      </c>
      <c r="AE4" s="12">
        <v>1067.3599999999999</v>
      </c>
      <c r="AF4" s="12">
        <v>1180.26</v>
      </c>
      <c r="AG4" s="12">
        <v>1254.5999999999999</v>
      </c>
      <c r="AH4" s="12">
        <v>1337.38</v>
      </c>
      <c r="AI4" s="8">
        <f t="shared" ref="AI4:AI13" si="6">IF(OR(AB4="",AC4=""),"",AC4/AB4-1)</f>
        <v>1.2425756107259378E-3</v>
      </c>
      <c r="AJ4" s="8">
        <f t="shared" ref="AJ4:AJ13" si="7">IF(OR(AB4="",AD4=""),"",AD4/AB4-1)</f>
        <v>-9.8975372151395402E-2</v>
      </c>
      <c r="AK4" s="8">
        <f t="shared" ref="AK4:AK13" si="8">IF(OR(AB4="",AE4=""),"",AE4/AB4-1)</f>
        <v>-0.11581633075705999</v>
      </c>
      <c r="AL4" s="8">
        <f t="shared" ref="AL4:AL13" si="9">IF(OR(AB4="",AF4=""),"",AF4/AB4-1)</f>
        <v>-2.2291806456422925E-2</v>
      </c>
      <c r="AM4" s="8">
        <f t="shared" ref="AM4:AM13" si="10">IF(OR(AB4="",AG4=""),"",AG4/AB4-1)</f>
        <v>3.9290240811153287E-2</v>
      </c>
      <c r="AN4" s="8">
        <f t="shared" ref="AN4:AN13" si="11">IF(OR(AB4="",AH4=""),"",AH4/AB4-1)</f>
        <v>0.1078638468484141</v>
      </c>
      <c r="AO4" s="8">
        <f t="shared" ref="AO4:AO13" si="12">IF(OR(U4="",AI4=""),"",U4-AI4)</f>
        <v>-7.5256443937946615E-3</v>
      </c>
      <c r="AP4" s="8">
        <f t="shared" ref="AP4:AP13" si="13">IF(OR(V4="",AJ4=""),"",V4-AJ4)</f>
        <v>-0.1644174849914618</v>
      </c>
      <c r="AQ4" s="8">
        <f t="shared" ref="AQ4:AQ13" si="14">IF(OR(W4="",AK4=""),"",W4-AK4)</f>
        <v>-0.28233181739108815</v>
      </c>
      <c r="AR4" s="8">
        <f t="shared" ref="AR4:AR13" si="15">IF(OR(X4="",AL4=""),"",X4-AL4)</f>
        <v>-0.29814470148008498</v>
      </c>
      <c r="AS4" s="8">
        <f t="shared" ref="AS4:AS13" si="16">IF(OR(Y4="",AM4=""),"",Y4-AM4)</f>
        <v>-0.31706801858893108</v>
      </c>
      <c r="AT4" s="8">
        <f t="shared" ref="AT4:AT13" si="17">IF(OR(Z4="",AN4=""),"",Z4-AN4)</f>
        <v>-0.34876993150449875</v>
      </c>
      <c r="AU4" s="4" t="s">
        <v>274</v>
      </c>
      <c r="AV4" s="12">
        <v>30.27</v>
      </c>
      <c r="AW4" s="12">
        <v>30.24</v>
      </c>
      <c r="AX4" s="12">
        <v>26.28</v>
      </c>
      <c r="AY4" s="12">
        <v>26.09</v>
      </c>
      <c r="AZ4" s="12">
        <v>29.46</v>
      </c>
      <c r="BA4" s="12">
        <v>33.32</v>
      </c>
      <c r="BB4" s="12">
        <v>39.39</v>
      </c>
      <c r="BC4" s="8">
        <f t="shared" ref="BC4:BC13" si="18">IF(OR(AV4="",AW4=""),"",AW4/AV4-1)</f>
        <v>-9.910802775024985E-4</v>
      </c>
      <c r="BD4" s="8">
        <f t="shared" ref="BD4:BD13" si="19">IF(OR(AV4="",AX4=""),"",AX4/AV4-1)</f>
        <v>-0.13181367690782952</v>
      </c>
      <c r="BE4" s="8">
        <f t="shared" ref="BE4:BE13" si="20">IF(OR(AV4="",AY4=""),"",AY4/AV4-1)</f>
        <v>-0.13809051866534527</v>
      </c>
      <c r="BF4" s="8">
        <f t="shared" ref="BF4:BF13" si="21">IF(OR(AV4="",AZ4=""),"",AZ4/AV4-1)</f>
        <v>-2.6759167492566904E-2</v>
      </c>
      <c r="BG4" s="8">
        <f t="shared" ref="BG4:BG13" si="22">IF(OR(AV4="",BA4=""),"",BA4/AV4-1)</f>
        <v>0.10075982821275198</v>
      </c>
      <c r="BH4" s="8">
        <f t="shared" ref="BH4:BH13" si="23">IF(OR(AV4="",BB4=""),"",BB4/AV4-1)</f>
        <v>0.30128840436075333</v>
      </c>
      <c r="BI4" s="8">
        <f t="shared" ref="BI4:BI13" si="24">IF(OR(U4="",BC4=""),"",U4-BC4)</f>
        <v>-5.2919885055662252E-3</v>
      </c>
      <c r="BJ4" s="8">
        <f t="shared" ref="BJ4:BJ13" si="25">IF(OR(V4="",BD4=""),"",V4-BD4)</f>
        <v>-0.13157918023502768</v>
      </c>
      <c r="BK4" s="8">
        <f t="shared" ref="BK4:BK13" si="26">IF(OR(W4="",BE4=""),"",W4-BE4)</f>
        <v>-0.26005762948280287</v>
      </c>
      <c r="BL4" s="8">
        <f t="shared" ref="BL4:BL13" si="27">IF(OR(X4="",BF4=""),"",X4-BF4)</f>
        <v>-0.293677340443941</v>
      </c>
      <c r="BM4" s="8">
        <f t="shared" ref="BM4:BM13" si="28">IF(OR(Y4="",BG4=""),"",Y4-BG4)</f>
        <v>-0.37853760599052977</v>
      </c>
      <c r="BN4" s="8">
        <f t="shared" ref="BN4:BN13" si="29">IF(OR(Z4="",BH4=""),"",Z4-BH4)</f>
        <v>-0.54219448901683798</v>
      </c>
      <c r="BO4" s="12">
        <v>27.02</v>
      </c>
      <c r="BP4" s="13">
        <v>40354</v>
      </c>
      <c r="BQ4" s="8">
        <f t="shared" ref="BQ4:BQ13" si="30">IF(OR(N4="",BO4=""),"",BO4/N4-1)</f>
        <v>-0.5532407407407407</v>
      </c>
      <c r="BR4" s="13"/>
      <c r="BS4" s="9" t="str">
        <f t="shared" ref="BS4:BS13" si="31">IF(BR4="","Pending input","Yes")</f>
        <v>Pending input</v>
      </c>
      <c r="BT4" s="9" t="str">
        <f t="shared" ref="BT4:BT13" si="32">IF(OR(BR4="",K4=""),"",NETWORKDAYS(K4,BR4))</f>
        <v/>
      </c>
      <c r="BU4" s="9" t="str">
        <f t="shared" ref="BU4:BU13" si="33">IF(OR(BR4="",K4=""),"",BR4-K4)</f>
        <v/>
      </c>
      <c r="BV4" s="9" t="str">
        <f t="shared" ref="BV4:BV13" si="34">IF(BR4="","",IF(BR4&lt;=I4+365,"Yes","No"))</f>
        <v/>
      </c>
      <c r="BW4" s="13" t="s">
        <v>437</v>
      </c>
      <c r="BX4" s="9">
        <f t="shared" ref="BX4:BX13" si="35">IF(OR(BW4="",K4=""),"",BW4-K4)</f>
        <v>80</v>
      </c>
      <c r="BY4" s="9" t="s">
        <v>275</v>
      </c>
      <c r="BZ4" s="4" t="s">
        <v>36</v>
      </c>
      <c r="CA4" s="10" t="s">
        <v>35</v>
      </c>
      <c r="CB4" s="10" t="s">
        <v>39</v>
      </c>
      <c r="CC4" s="15"/>
      <c r="CD4" s="15"/>
    </row>
    <row r="5" spans="1:82" s="16" customFormat="1" ht="45.75" customHeight="1" x14ac:dyDescent="0.4">
      <c r="A5" s="4" t="s">
        <v>40</v>
      </c>
      <c r="B5" s="4" t="s">
        <v>41</v>
      </c>
      <c r="C5" s="4" t="s">
        <v>42</v>
      </c>
      <c r="D5" s="4" t="s">
        <v>276</v>
      </c>
      <c r="E5" s="4" t="s">
        <v>277</v>
      </c>
      <c r="F5" s="4" t="s">
        <v>278</v>
      </c>
      <c r="G5" s="4" t="s">
        <v>43</v>
      </c>
      <c r="H5" s="4" t="s">
        <v>25</v>
      </c>
      <c r="I5" s="5">
        <v>32591</v>
      </c>
      <c r="J5" s="5">
        <v>32591</v>
      </c>
      <c r="K5" s="13">
        <v>32590</v>
      </c>
      <c r="L5" s="4" t="s">
        <v>279</v>
      </c>
      <c r="M5" s="4" t="s">
        <v>272</v>
      </c>
      <c r="N5" s="12">
        <v>11.125</v>
      </c>
      <c r="O5" s="12">
        <v>11.125</v>
      </c>
      <c r="P5" s="12">
        <v>11.125</v>
      </c>
      <c r="Q5" s="12">
        <v>11.2812</v>
      </c>
      <c r="R5" s="12">
        <v>11.1875</v>
      </c>
      <c r="S5" s="12">
        <v>11.4688</v>
      </c>
      <c r="T5" s="12">
        <v>11.4375</v>
      </c>
      <c r="U5" s="8">
        <f t="shared" si="0"/>
        <v>0</v>
      </c>
      <c r="V5" s="8">
        <f t="shared" si="1"/>
        <v>0</v>
      </c>
      <c r="W5" s="8">
        <f t="shared" si="2"/>
        <v>1.4040449438202263E-2</v>
      </c>
      <c r="X5" s="8">
        <f t="shared" si="3"/>
        <v>5.6179775280897903E-3</v>
      </c>
      <c r="Y5" s="8">
        <f t="shared" si="4"/>
        <v>3.0903370786516948E-2</v>
      </c>
      <c r="Z5" s="8">
        <f t="shared" si="5"/>
        <v>2.8089887640449396E-2</v>
      </c>
      <c r="AA5" s="4" t="s">
        <v>273</v>
      </c>
      <c r="AB5" s="12">
        <v>288.98</v>
      </c>
      <c r="AC5" s="12">
        <v>290.57</v>
      </c>
      <c r="AD5" s="12">
        <v>308.69</v>
      </c>
      <c r="AE5" s="12">
        <v>333.67</v>
      </c>
      <c r="AF5" s="12">
        <v>344.23</v>
      </c>
      <c r="AG5" s="12">
        <v>343.97</v>
      </c>
      <c r="AH5" s="12">
        <v>337.63</v>
      </c>
      <c r="AI5" s="8">
        <f t="shared" si="6"/>
        <v>5.5021108727246748E-3</v>
      </c>
      <c r="AJ5" s="8">
        <f t="shared" si="7"/>
        <v>6.8205412139248356E-2</v>
      </c>
      <c r="AK5" s="8">
        <f t="shared" si="8"/>
        <v>0.15464738044155313</v>
      </c>
      <c r="AL5" s="8">
        <f t="shared" si="9"/>
        <v>0.19118970170946081</v>
      </c>
      <c r="AM5" s="8">
        <f t="shared" si="10"/>
        <v>0.19028998546612219</v>
      </c>
      <c r="AN5" s="8">
        <f t="shared" si="11"/>
        <v>0.16835075091701834</v>
      </c>
      <c r="AO5" s="8">
        <f t="shared" si="12"/>
        <v>-5.5021108727246748E-3</v>
      </c>
      <c r="AP5" s="8">
        <f t="shared" si="13"/>
        <v>-6.8205412139248356E-2</v>
      </c>
      <c r="AQ5" s="8">
        <f t="shared" si="14"/>
        <v>-0.14060693100335087</v>
      </c>
      <c r="AR5" s="8">
        <f t="shared" si="15"/>
        <v>-0.18557172418137102</v>
      </c>
      <c r="AS5" s="8">
        <f t="shared" si="16"/>
        <v>-0.15938661467960524</v>
      </c>
      <c r="AT5" s="8">
        <f t="shared" si="17"/>
        <v>-0.14026086327656895</v>
      </c>
      <c r="AU5" s="4" t="s">
        <v>280</v>
      </c>
      <c r="AV5" s="12"/>
      <c r="AW5" s="12"/>
      <c r="AX5" s="12"/>
      <c r="AY5" s="12"/>
      <c r="AZ5" s="12"/>
      <c r="BA5" s="12"/>
      <c r="BB5" s="12"/>
      <c r="BC5" s="8" t="str">
        <f t="shared" si="18"/>
        <v/>
      </c>
      <c r="BD5" s="8" t="str">
        <f t="shared" si="19"/>
        <v/>
      </c>
      <c r="BE5" s="8" t="str">
        <f t="shared" si="20"/>
        <v/>
      </c>
      <c r="BF5" s="8" t="str">
        <f t="shared" si="21"/>
        <v/>
      </c>
      <c r="BG5" s="8" t="str">
        <f t="shared" si="22"/>
        <v/>
      </c>
      <c r="BH5" s="8" t="str">
        <f t="shared" si="23"/>
        <v/>
      </c>
      <c r="BI5" s="8" t="str">
        <f t="shared" si="24"/>
        <v/>
      </c>
      <c r="BJ5" s="8" t="str">
        <f t="shared" si="25"/>
        <v/>
      </c>
      <c r="BK5" s="8" t="str">
        <f t="shared" si="26"/>
        <v/>
      </c>
      <c r="BL5" s="8" t="str">
        <f t="shared" si="27"/>
        <v/>
      </c>
      <c r="BM5" s="8" t="str">
        <f t="shared" si="28"/>
        <v/>
      </c>
      <c r="BN5" s="8" t="str">
        <f t="shared" si="29"/>
        <v/>
      </c>
      <c r="BO5" s="12">
        <v>10.4375</v>
      </c>
      <c r="BP5" s="13" t="s">
        <v>451</v>
      </c>
      <c r="BQ5" s="8">
        <f t="shared" si="30"/>
        <v>-6.1797752808988804E-2</v>
      </c>
      <c r="BR5" s="13" t="s">
        <v>446</v>
      </c>
      <c r="BS5" s="9" t="str">
        <f t="shared" si="31"/>
        <v>Yes</v>
      </c>
      <c r="BT5" s="9">
        <f t="shared" si="32"/>
        <v>22</v>
      </c>
      <c r="BU5" s="9">
        <f t="shared" si="33"/>
        <v>29</v>
      </c>
      <c r="BV5" s="9" t="str">
        <f>IF(BR5="","",IF(BR5&lt;=I5+365,"Yes","No"))</f>
        <v>No</v>
      </c>
      <c r="BW5" s="13" t="s">
        <v>438</v>
      </c>
      <c r="BX5" s="9">
        <f t="shared" si="35"/>
        <v>82</v>
      </c>
      <c r="BY5" s="9" t="s">
        <v>275</v>
      </c>
      <c r="BZ5" s="4" t="s">
        <v>54</v>
      </c>
      <c r="CA5" s="10" t="s">
        <v>53</v>
      </c>
      <c r="CB5" s="10" t="s">
        <v>57</v>
      </c>
      <c r="CC5" s="15"/>
      <c r="CD5" s="15"/>
    </row>
    <row r="6" spans="1:82" s="16" customFormat="1" ht="45.75" customHeight="1" x14ac:dyDescent="0.4">
      <c r="A6" s="4" t="s">
        <v>58</v>
      </c>
      <c r="B6" s="4" t="s">
        <v>59</v>
      </c>
      <c r="C6" s="4" t="s">
        <v>60</v>
      </c>
      <c r="D6" s="4" t="s">
        <v>281</v>
      </c>
      <c r="E6" s="4" t="s">
        <v>282</v>
      </c>
      <c r="F6" s="4" t="s">
        <v>278</v>
      </c>
      <c r="G6" s="4" t="s">
        <v>62</v>
      </c>
      <c r="H6" s="4" t="s">
        <v>61</v>
      </c>
      <c r="I6" s="5">
        <v>40288</v>
      </c>
      <c r="J6" s="5">
        <v>40289</v>
      </c>
      <c r="K6" s="13">
        <v>40288</v>
      </c>
      <c r="L6" s="4" t="s">
        <v>279</v>
      </c>
      <c r="M6" s="4" t="s">
        <v>272</v>
      </c>
      <c r="N6" s="12">
        <v>92</v>
      </c>
      <c r="O6" s="12">
        <v>90.34</v>
      </c>
      <c r="P6" s="12">
        <v>58.5</v>
      </c>
      <c r="Q6" s="12">
        <v>50.9</v>
      </c>
      <c r="R6" s="12">
        <v>65.63</v>
      </c>
      <c r="S6" s="12">
        <v>69.73</v>
      </c>
      <c r="T6" s="12">
        <v>75.569999999999993</v>
      </c>
      <c r="U6" s="8">
        <f t="shared" si="0"/>
        <v>-1.8043478260869494E-2</v>
      </c>
      <c r="V6" s="8">
        <f t="shared" si="1"/>
        <v>-0.36413043478260865</v>
      </c>
      <c r="W6" s="8">
        <f t="shared" si="2"/>
        <v>-0.44673913043478264</v>
      </c>
      <c r="X6" s="8">
        <f t="shared" si="3"/>
        <v>-0.28663043478260875</v>
      </c>
      <c r="Y6" s="8">
        <f t="shared" si="4"/>
        <v>-0.24206521739130427</v>
      </c>
      <c r="Z6" s="8">
        <f t="shared" si="5"/>
        <v>-0.17858695652173917</v>
      </c>
      <c r="AA6" s="4" t="s">
        <v>273</v>
      </c>
      <c r="AB6" s="12">
        <v>1207.17</v>
      </c>
      <c r="AC6" s="12">
        <v>1208.67</v>
      </c>
      <c r="AD6" s="12">
        <v>1087.6899000000001</v>
      </c>
      <c r="AE6" s="12">
        <v>1067.3599999999999</v>
      </c>
      <c r="AF6" s="12">
        <v>1180.26</v>
      </c>
      <c r="AG6" s="12">
        <v>1254.5999999999999</v>
      </c>
      <c r="AH6" s="12">
        <v>1337.38</v>
      </c>
      <c r="AI6" s="8">
        <f t="shared" si="6"/>
        <v>1.2425756107259378E-3</v>
      </c>
      <c r="AJ6" s="8">
        <f t="shared" si="7"/>
        <v>-9.8975372151395402E-2</v>
      </c>
      <c r="AK6" s="8">
        <f t="shared" si="8"/>
        <v>-0.11581633075705999</v>
      </c>
      <c r="AL6" s="8">
        <f t="shared" si="9"/>
        <v>-2.2291806456422925E-2</v>
      </c>
      <c r="AM6" s="8">
        <f t="shared" si="10"/>
        <v>3.9290240811153287E-2</v>
      </c>
      <c r="AN6" s="8">
        <f t="shared" si="11"/>
        <v>0.1078638468484141</v>
      </c>
      <c r="AO6" s="8">
        <f t="shared" si="12"/>
        <v>-1.9286053871595432E-2</v>
      </c>
      <c r="AP6" s="8">
        <f t="shared" si="13"/>
        <v>-0.26515506263121325</v>
      </c>
      <c r="AQ6" s="8">
        <f t="shared" si="14"/>
        <v>-0.33092279967772265</v>
      </c>
      <c r="AR6" s="8">
        <f t="shared" si="15"/>
        <v>-0.26433862832618582</v>
      </c>
      <c r="AS6" s="8">
        <f t="shared" si="16"/>
        <v>-0.28135545820245755</v>
      </c>
      <c r="AT6" s="8">
        <f t="shared" si="17"/>
        <v>-0.28645080337015327</v>
      </c>
      <c r="AU6" s="4" t="s">
        <v>320</v>
      </c>
      <c r="AV6" s="12">
        <v>30.27</v>
      </c>
      <c r="AW6" s="12">
        <v>30.24</v>
      </c>
      <c r="AX6" s="12">
        <v>26.28</v>
      </c>
      <c r="AY6" s="12">
        <v>26.09</v>
      </c>
      <c r="AZ6" s="12">
        <v>29.46</v>
      </c>
      <c r="BA6" s="12">
        <v>33.32</v>
      </c>
      <c r="BB6" s="12">
        <v>39.39</v>
      </c>
      <c r="BC6" s="8">
        <f t="shared" si="18"/>
        <v>-9.910802775024985E-4</v>
      </c>
      <c r="BD6" s="8">
        <f t="shared" si="19"/>
        <v>-0.13181367690782952</v>
      </c>
      <c r="BE6" s="8">
        <f t="shared" si="20"/>
        <v>-0.13809051866534527</v>
      </c>
      <c r="BF6" s="8">
        <f t="shared" si="21"/>
        <v>-2.6759167492566904E-2</v>
      </c>
      <c r="BG6" s="8">
        <f t="shared" si="22"/>
        <v>0.10075982821275198</v>
      </c>
      <c r="BH6" s="8">
        <f t="shared" si="23"/>
        <v>0.30128840436075333</v>
      </c>
      <c r="BI6" s="8">
        <f t="shared" si="24"/>
        <v>-1.7052397983366996E-2</v>
      </c>
      <c r="BJ6" s="8">
        <f t="shared" si="25"/>
        <v>-0.23231675787477912</v>
      </c>
      <c r="BK6" s="8">
        <f t="shared" si="26"/>
        <v>-0.30864861176943736</v>
      </c>
      <c r="BL6" s="8">
        <f t="shared" si="27"/>
        <v>-0.25987126729004184</v>
      </c>
      <c r="BM6" s="8">
        <f t="shared" si="28"/>
        <v>-0.34282504560405624</v>
      </c>
      <c r="BN6" s="8">
        <f t="shared" si="29"/>
        <v>-0.4798753608824925</v>
      </c>
      <c r="BO6" s="12">
        <v>42.58</v>
      </c>
      <c r="BP6" s="13">
        <v>40338</v>
      </c>
      <c r="BQ6" s="8">
        <f t="shared" si="30"/>
        <v>-0.53717391304347828</v>
      </c>
      <c r="BR6" s="6"/>
      <c r="BS6" s="9" t="str">
        <f t="shared" si="31"/>
        <v>Pending input</v>
      </c>
      <c r="BT6" s="9" t="str">
        <f t="shared" si="32"/>
        <v/>
      </c>
      <c r="BU6" s="9" t="str">
        <f t="shared" si="33"/>
        <v/>
      </c>
      <c r="BV6" s="9" t="str">
        <f t="shared" si="34"/>
        <v/>
      </c>
      <c r="BW6" s="13" t="s">
        <v>439</v>
      </c>
      <c r="BX6" s="9">
        <f t="shared" si="35"/>
        <v>142</v>
      </c>
      <c r="BY6" s="9" t="s">
        <v>275</v>
      </c>
      <c r="BZ6" s="4" t="s">
        <v>71</v>
      </c>
      <c r="CA6" s="10" t="s">
        <v>70</v>
      </c>
      <c r="CB6" s="10" t="s">
        <v>74</v>
      </c>
      <c r="CC6" s="15"/>
      <c r="CD6" s="15"/>
    </row>
    <row r="7" spans="1:82" s="16" customFormat="1" ht="45.75" customHeight="1" x14ac:dyDescent="0.4">
      <c r="A7" s="4" t="s">
        <v>75</v>
      </c>
      <c r="B7" s="4" t="s">
        <v>76</v>
      </c>
      <c r="C7" s="4" t="s">
        <v>77</v>
      </c>
      <c r="D7" s="4" t="s">
        <v>284</v>
      </c>
      <c r="E7" s="4" t="s">
        <v>285</v>
      </c>
      <c r="F7" s="4" t="s">
        <v>286</v>
      </c>
      <c r="G7" s="4" t="s">
        <v>79</v>
      </c>
      <c r="H7" s="4" t="s">
        <v>78</v>
      </c>
      <c r="I7" s="5">
        <v>40384</v>
      </c>
      <c r="J7" s="5">
        <v>40385</v>
      </c>
      <c r="K7" s="13">
        <v>40382</v>
      </c>
      <c r="L7" s="4" t="s">
        <v>287</v>
      </c>
      <c r="M7" s="4" t="s">
        <v>272</v>
      </c>
      <c r="N7" s="12">
        <v>25.98</v>
      </c>
      <c r="O7" s="12">
        <v>25.88</v>
      </c>
      <c r="P7" s="12">
        <v>26.36</v>
      </c>
      <c r="Q7" s="12">
        <v>28.45</v>
      </c>
      <c r="R7" s="12">
        <v>28.43</v>
      </c>
      <c r="S7" s="12">
        <v>29.6</v>
      </c>
      <c r="T7" s="12">
        <v>30.84</v>
      </c>
      <c r="U7" s="8">
        <f t="shared" si="0"/>
        <v>-3.8491147036182616E-3</v>
      </c>
      <c r="V7" s="8">
        <f t="shared" si="1"/>
        <v>1.4626635873749017E-2</v>
      </c>
      <c r="W7" s="8">
        <f t="shared" si="2"/>
        <v>9.5073133179368607E-2</v>
      </c>
      <c r="X7" s="8">
        <f t="shared" si="3"/>
        <v>9.4303310238645022E-2</v>
      </c>
      <c r="Y7" s="8">
        <f t="shared" si="4"/>
        <v>0.13933795227097767</v>
      </c>
      <c r="Z7" s="8">
        <f t="shared" si="5"/>
        <v>0.18706697459584287</v>
      </c>
      <c r="AA7" s="4" t="s">
        <v>288</v>
      </c>
      <c r="AB7" s="12">
        <v>11724.31</v>
      </c>
      <c r="AC7" s="12">
        <v>11739.88</v>
      </c>
      <c r="AD7" s="12">
        <v>11770.29</v>
      </c>
      <c r="AE7" s="12">
        <v>12894.05</v>
      </c>
      <c r="AF7" s="12">
        <v>13438.18</v>
      </c>
      <c r="AG7" s="12">
        <v>13980.88</v>
      </c>
      <c r="AH7" s="12">
        <v>13163.91</v>
      </c>
      <c r="AI7" s="8">
        <f t="shared" si="6"/>
        <v>1.3280099212660268E-3</v>
      </c>
      <c r="AJ7" s="8">
        <f t="shared" si="7"/>
        <v>3.9217659717289965E-3</v>
      </c>
      <c r="AK7" s="8">
        <f t="shared" si="8"/>
        <v>9.9770476898000782E-2</v>
      </c>
      <c r="AL7" s="8">
        <f t="shared" si="9"/>
        <v>0.14618088399232021</v>
      </c>
      <c r="AM7" s="8">
        <f t="shared" si="10"/>
        <v>0.19246932228847591</v>
      </c>
      <c r="AN7" s="8">
        <f t="shared" si="11"/>
        <v>0.12278760967596392</v>
      </c>
      <c r="AO7" s="8">
        <f t="shared" si="12"/>
        <v>-5.1771246248842884E-3</v>
      </c>
      <c r="AP7" s="8">
        <f t="shared" si="13"/>
        <v>1.070486990202002E-2</v>
      </c>
      <c r="AQ7" s="8">
        <f t="shared" si="14"/>
        <v>-4.6973437186321743E-3</v>
      </c>
      <c r="AR7" s="8">
        <f t="shared" si="15"/>
        <v>-5.1877573753675188E-2</v>
      </c>
      <c r="AS7" s="8">
        <f t="shared" si="16"/>
        <v>-5.3131370017498236E-2</v>
      </c>
      <c r="AT7" s="8">
        <f t="shared" si="17"/>
        <v>6.4279364919878956E-2</v>
      </c>
      <c r="AU7" s="4" t="s">
        <v>434</v>
      </c>
      <c r="AV7" s="12">
        <v>17.940000000000001</v>
      </c>
      <c r="AW7" s="12">
        <v>18</v>
      </c>
      <c r="AX7" s="12">
        <v>16.73</v>
      </c>
      <c r="AY7" s="12">
        <v>18.63</v>
      </c>
      <c r="AZ7" s="12">
        <v>20.59</v>
      </c>
      <c r="BA7" s="12">
        <v>22.06</v>
      </c>
      <c r="BB7" s="12">
        <v>20.16</v>
      </c>
      <c r="BC7" s="8">
        <f t="shared" si="18"/>
        <v>3.3444816053511683E-3</v>
      </c>
      <c r="BD7" s="8">
        <f t="shared" si="19"/>
        <v>-6.7447045707915265E-2</v>
      </c>
      <c r="BE7" s="8">
        <f t="shared" si="20"/>
        <v>3.8461538461538325E-2</v>
      </c>
      <c r="BF7" s="8">
        <f t="shared" si="21"/>
        <v>0.14771460423634331</v>
      </c>
      <c r="BG7" s="8">
        <f t="shared" si="22"/>
        <v>0.22965440356744682</v>
      </c>
      <c r="BH7" s="8">
        <f t="shared" si="23"/>
        <v>0.12374581939799323</v>
      </c>
      <c r="BI7" s="8">
        <f t="shared" si="24"/>
        <v>-7.1935963089694299E-3</v>
      </c>
      <c r="BJ7" s="8">
        <f t="shared" si="25"/>
        <v>8.2073681581664282E-2</v>
      </c>
      <c r="BK7" s="8">
        <f t="shared" si="26"/>
        <v>5.6611594717830283E-2</v>
      </c>
      <c r="BL7" s="8">
        <f t="shared" si="27"/>
        <v>-5.3411293997698284E-2</v>
      </c>
      <c r="BM7" s="8">
        <f t="shared" si="28"/>
        <v>-9.0316451296469147E-2</v>
      </c>
      <c r="BN7" s="8">
        <f t="shared" si="29"/>
        <v>6.3321155197849643E-2</v>
      </c>
      <c r="BO7" s="12">
        <v>24.9</v>
      </c>
      <c r="BP7" s="13" t="s">
        <v>452</v>
      </c>
      <c r="BQ7" s="8">
        <f t="shared" si="30"/>
        <v>-4.1570438799076292E-2</v>
      </c>
      <c r="BR7" s="13" t="s">
        <v>440</v>
      </c>
      <c r="BS7" s="9" t="str">
        <f t="shared" si="31"/>
        <v>Yes</v>
      </c>
      <c r="BT7" s="9">
        <f t="shared" si="32"/>
        <v>22</v>
      </c>
      <c r="BU7" s="9">
        <f t="shared" si="33"/>
        <v>31</v>
      </c>
      <c r="BV7" s="9" t="str">
        <f t="shared" si="34"/>
        <v>No</v>
      </c>
      <c r="BW7" s="13" t="s">
        <v>440</v>
      </c>
      <c r="BX7" s="9">
        <f t="shared" si="35"/>
        <v>31</v>
      </c>
      <c r="BY7" s="9" t="s">
        <v>275</v>
      </c>
      <c r="BZ7" s="4" t="s">
        <v>54</v>
      </c>
      <c r="CA7" s="10" t="s">
        <v>86</v>
      </c>
      <c r="CB7" s="10" t="s">
        <v>89</v>
      </c>
      <c r="CC7" s="15"/>
      <c r="CD7" s="15"/>
    </row>
    <row r="8" spans="1:82" s="16" customFormat="1" ht="45.75" customHeight="1" x14ac:dyDescent="0.4">
      <c r="A8" s="4" t="s">
        <v>90</v>
      </c>
      <c r="B8" s="4" t="s">
        <v>91</v>
      </c>
      <c r="C8" s="4" t="s">
        <v>92</v>
      </c>
      <c r="D8" s="4" t="s">
        <v>290</v>
      </c>
      <c r="E8" s="4" t="s">
        <v>291</v>
      </c>
      <c r="F8" s="4" t="s">
        <v>278</v>
      </c>
      <c r="G8" s="4" t="s">
        <v>94</v>
      </c>
      <c r="H8" s="4" t="s">
        <v>93</v>
      </c>
      <c r="I8" s="5">
        <v>42143</v>
      </c>
      <c r="J8" s="5">
        <v>42143</v>
      </c>
      <c r="K8" s="13">
        <v>42142</v>
      </c>
      <c r="L8" s="4" t="s">
        <v>279</v>
      </c>
      <c r="M8" s="4" t="s">
        <v>292</v>
      </c>
      <c r="N8" s="12">
        <v>49.49</v>
      </c>
      <c r="O8" s="12">
        <v>48.86</v>
      </c>
      <c r="P8" s="12">
        <v>44.53</v>
      </c>
      <c r="Q8" s="12">
        <v>32.33</v>
      </c>
      <c r="R8" s="12">
        <v>25.15</v>
      </c>
      <c r="S8" s="12">
        <v>19.100000000000001</v>
      </c>
      <c r="T8" s="12">
        <v>24.96</v>
      </c>
      <c r="U8" s="8">
        <f t="shared" si="0"/>
        <v>-1.2729844413012836E-2</v>
      </c>
      <c r="V8" s="8">
        <f t="shared" si="1"/>
        <v>-0.10022226712467164</v>
      </c>
      <c r="W8" s="8">
        <f t="shared" si="2"/>
        <v>-0.34673671448777532</v>
      </c>
      <c r="X8" s="8">
        <f t="shared" si="3"/>
        <v>-0.49181652859163472</v>
      </c>
      <c r="Y8" s="8">
        <f t="shared" si="4"/>
        <v>-0.61406344716104266</v>
      </c>
      <c r="Z8" s="8">
        <f t="shared" si="5"/>
        <v>-0.49565568801778137</v>
      </c>
      <c r="AA8" s="4" t="s">
        <v>273</v>
      </c>
      <c r="AB8" s="12">
        <v>2129.1999999999998</v>
      </c>
      <c r="AC8" s="12">
        <v>2125.8501000000001</v>
      </c>
      <c r="AD8" s="12">
        <v>2109.9899999999998</v>
      </c>
      <c r="AE8" s="12">
        <v>1966.97</v>
      </c>
      <c r="AF8" s="12">
        <v>2081.2399999999998</v>
      </c>
      <c r="AG8" s="12">
        <v>1881.33</v>
      </c>
      <c r="AH8" s="12">
        <v>2040.04</v>
      </c>
      <c r="AI8" s="8">
        <f t="shared" si="6"/>
        <v>-1.5733139207212421E-3</v>
      </c>
      <c r="AJ8" s="8">
        <f t="shared" si="7"/>
        <v>-9.0221679504038921E-3</v>
      </c>
      <c r="AK8" s="8">
        <f t="shared" si="8"/>
        <v>-7.6192936314108506E-2</v>
      </c>
      <c r="AL8" s="8">
        <f t="shared" si="9"/>
        <v>-2.2524891978207839E-2</v>
      </c>
      <c r="AM8" s="8">
        <f t="shared" si="10"/>
        <v>-0.1164146158181476</v>
      </c>
      <c r="AN8" s="8">
        <f t="shared" si="11"/>
        <v>-4.1874882585008377E-2</v>
      </c>
      <c r="AO8" s="8">
        <f t="shared" si="12"/>
        <v>-1.1156530492291594E-2</v>
      </c>
      <c r="AP8" s="8">
        <f t="shared" si="13"/>
        <v>-9.1200099174267746E-2</v>
      </c>
      <c r="AQ8" s="8">
        <f t="shared" si="14"/>
        <v>-0.27054377817366682</v>
      </c>
      <c r="AR8" s="8">
        <f t="shared" si="15"/>
        <v>-0.46929163661342688</v>
      </c>
      <c r="AS8" s="8">
        <f t="shared" si="16"/>
        <v>-0.49764883134289506</v>
      </c>
      <c r="AT8" s="8">
        <f t="shared" si="17"/>
        <v>-0.45378080543277299</v>
      </c>
      <c r="AU8" s="4" t="s">
        <v>293</v>
      </c>
      <c r="AV8" s="12">
        <v>40.369999999999997</v>
      </c>
      <c r="AW8" s="12">
        <v>39.869999999999997</v>
      </c>
      <c r="AX8" s="12">
        <v>37.954999999999998</v>
      </c>
      <c r="AY8" s="12">
        <v>31.73</v>
      </c>
      <c r="AZ8" s="12">
        <v>33.81</v>
      </c>
      <c r="BA8" s="12">
        <v>26.59</v>
      </c>
      <c r="BB8" s="12">
        <v>32.884999999999998</v>
      </c>
      <c r="BC8" s="8">
        <f t="shared" si="18"/>
        <v>-1.2385434728758971E-2</v>
      </c>
      <c r="BD8" s="8">
        <f t="shared" si="19"/>
        <v>-5.9821649739905891E-2</v>
      </c>
      <c r="BE8" s="8">
        <f t="shared" si="20"/>
        <v>-0.21402031211295514</v>
      </c>
      <c r="BF8" s="8">
        <f t="shared" si="21"/>
        <v>-0.16249690364131775</v>
      </c>
      <c r="BG8" s="8">
        <f t="shared" si="22"/>
        <v>-0.34134258112459748</v>
      </c>
      <c r="BH8" s="8">
        <f t="shared" si="23"/>
        <v>-0.18540995788952197</v>
      </c>
      <c r="BI8" s="8">
        <f t="shared" si="24"/>
        <v>-3.4440968425386576E-4</v>
      </c>
      <c r="BJ8" s="8">
        <f t="shared" si="25"/>
        <v>-4.0400617384765747E-2</v>
      </c>
      <c r="BK8" s="8">
        <f t="shared" si="26"/>
        <v>-0.13271640237482019</v>
      </c>
      <c r="BL8" s="8">
        <f t="shared" si="27"/>
        <v>-0.32931962495031697</v>
      </c>
      <c r="BM8" s="8">
        <f t="shared" si="28"/>
        <v>-0.27272086603644519</v>
      </c>
      <c r="BN8" s="8">
        <f t="shared" si="29"/>
        <v>-0.3102457301282594</v>
      </c>
      <c r="BO8" s="12">
        <v>15.44</v>
      </c>
      <c r="BP8" s="13" t="s">
        <v>453</v>
      </c>
      <c r="BQ8" s="8">
        <f t="shared" si="30"/>
        <v>-0.68801778136997371</v>
      </c>
      <c r="BR8" s="6"/>
      <c r="BS8" s="9" t="str">
        <f t="shared" si="31"/>
        <v>Pending input</v>
      </c>
      <c r="BT8" s="9" t="str">
        <f t="shared" si="32"/>
        <v/>
      </c>
      <c r="BU8" s="9" t="str">
        <f t="shared" si="33"/>
        <v/>
      </c>
      <c r="BV8" s="9" t="str">
        <f t="shared" si="34"/>
        <v/>
      </c>
      <c r="BW8" s="13" t="s">
        <v>441</v>
      </c>
      <c r="BX8" s="9">
        <f t="shared" si="35"/>
        <v>287</v>
      </c>
      <c r="BY8" s="11" t="s">
        <v>294</v>
      </c>
      <c r="BZ8" s="4" t="s">
        <v>103</v>
      </c>
      <c r="CA8" s="10" t="s">
        <v>102</v>
      </c>
      <c r="CB8" s="10" t="s">
        <v>106</v>
      </c>
      <c r="CC8" s="15"/>
      <c r="CD8" s="15"/>
    </row>
    <row r="9" spans="1:82" s="16" customFormat="1" ht="45.75" customHeight="1" x14ac:dyDescent="0.4">
      <c r="A9" s="4" t="s">
        <v>107</v>
      </c>
      <c r="B9" s="4" t="s">
        <v>108</v>
      </c>
      <c r="C9" s="4" t="s">
        <v>109</v>
      </c>
      <c r="D9" s="4" t="s">
        <v>295</v>
      </c>
      <c r="E9" s="4" t="s">
        <v>296</v>
      </c>
      <c r="F9" s="4" t="s">
        <v>297</v>
      </c>
      <c r="G9" s="4" t="s">
        <v>111</v>
      </c>
      <c r="H9" s="4" t="s">
        <v>110</v>
      </c>
      <c r="I9" s="5">
        <v>39423</v>
      </c>
      <c r="J9" s="5">
        <v>39423</v>
      </c>
      <c r="K9" s="13">
        <v>39422</v>
      </c>
      <c r="L9" s="4" t="s">
        <v>298</v>
      </c>
      <c r="M9" s="4" t="s">
        <v>272</v>
      </c>
      <c r="N9" s="12">
        <v>31142.898399999998</v>
      </c>
      <c r="O9" s="12">
        <v>29002.7461</v>
      </c>
      <c r="P9" s="12">
        <v>27858.873</v>
      </c>
      <c r="Q9" s="12">
        <v>26050.8125</v>
      </c>
      <c r="R9" s="12">
        <v>31807.083999999999</v>
      </c>
      <c r="S9" s="12">
        <v>25460.425800000001</v>
      </c>
      <c r="T9" s="12">
        <v>17158.113300000001</v>
      </c>
      <c r="U9" s="8">
        <f t="shared" si="0"/>
        <v>-6.8720395658484978E-2</v>
      </c>
      <c r="V9" s="8">
        <f t="shared" si="1"/>
        <v>-0.10545021718338199</v>
      </c>
      <c r="W9" s="8">
        <f t="shared" si="2"/>
        <v>-0.16350712880340001</v>
      </c>
      <c r="X9" s="8">
        <f t="shared" si="3"/>
        <v>2.1327032297032478E-2</v>
      </c>
      <c r="Y9" s="8">
        <f t="shared" si="4"/>
        <v>-0.18246447479018191</v>
      </c>
      <c r="Z9" s="8">
        <f t="shared" si="5"/>
        <v>-0.44905213767771845</v>
      </c>
      <c r="AA9" s="4" t="s">
        <v>299</v>
      </c>
      <c r="AB9" s="12">
        <v>1953.17</v>
      </c>
      <c r="AC9" s="12">
        <v>1906.42</v>
      </c>
      <c r="AD9" s="12">
        <v>1831.14</v>
      </c>
      <c r="AE9" s="12">
        <v>1773.5600999999999</v>
      </c>
      <c r="AF9" s="12">
        <v>1808.96</v>
      </c>
      <c r="AG9" s="12">
        <v>1564</v>
      </c>
      <c r="AH9" s="12">
        <v>1105.05</v>
      </c>
      <c r="AI9" s="8">
        <f t="shared" si="6"/>
        <v>-2.3935448527265923E-2</v>
      </c>
      <c r="AJ9" s="8">
        <f t="shared" si="7"/>
        <v>-6.2477920508711482E-2</v>
      </c>
      <c r="AK9" s="8">
        <f t="shared" si="8"/>
        <v>-9.1958150084222146E-2</v>
      </c>
      <c r="AL9" s="8">
        <f t="shared" si="9"/>
        <v>-7.3833818868813239E-2</v>
      </c>
      <c r="AM9" s="8">
        <f t="shared" si="10"/>
        <v>-0.19925044926964885</v>
      </c>
      <c r="AN9" s="8">
        <f t="shared" si="11"/>
        <v>-0.4342274353998884</v>
      </c>
      <c r="AO9" s="8">
        <f t="shared" si="12"/>
        <v>-4.4784947131219055E-2</v>
      </c>
      <c r="AP9" s="8">
        <f t="shared" si="13"/>
        <v>-4.2972296674670507E-2</v>
      </c>
      <c r="AQ9" s="8">
        <f t="shared" si="14"/>
        <v>-7.1548978719177869E-2</v>
      </c>
      <c r="AR9" s="8">
        <f t="shared" si="15"/>
        <v>9.5160851165845717E-2</v>
      </c>
      <c r="AS9" s="8">
        <f t="shared" si="16"/>
        <v>1.6785974479466947E-2</v>
      </c>
      <c r="AT9" s="8">
        <f t="shared" si="17"/>
        <v>-1.482470227783006E-2</v>
      </c>
      <c r="AU9" s="4" t="s">
        <v>300</v>
      </c>
      <c r="AV9" s="12"/>
      <c r="AW9" s="12"/>
      <c r="AX9" s="12"/>
      <c r="AY9" s="12"/>
      <c r="AZ9" s="12"/>
      <c r="BA9" s="12"/>
      <c r="BB9" s="12"/>
      <c r="BC9" s="8" t="str">
        <f t="shared" si="18"/>
        <v/>
      </c>
      <c r="BD9" s="8" t="str">
        <f t="shared" si="19"/>
        <v/>
      </c>
      <c r="BE9" s="8" t="str">
        <f t="shared" si="20"/>
        <v/>
      </c>
      <c r="BF9" s="8" t="str">
        <f t="shared" si="21"/>
        <v/>
      </c>
      <c r="BG9" s="8" t="str">
        <f t="shared" si="22"/>
        <v/>
      </c>
      <c r="BH9" s="8" t="str">
        <f t="shared" si="23"/>
        <v/>
      </c>
      <c r="BI9" s="8" t="str">
        <f t="shared" si="24"/>
        <v/>
      </c>
      <c r="BJ9" s="8" t="str">
        <f t="shared" si="25"/>
        <v/>
      </c>
      <c r="BK9" s="8" t="str">
        <f t="shared" si="26"/>
        <v/>
      </c>
      <c r="BL9" s="8" t="str">
        <f t="shared" si="27"/>
        <v/>
      </c>
      <c r="BM9" s="8" t="str">
        <f t="shared" si="28"/>
        <v/>
      </c>
      <c r="BN9" s="8" t="str">
        <f t="shared" si="29"/>
        <v/>
      </c>
      <c r="BO9" s="12">
        <v>8745.1034999999993</v>
      </c>
      <c r="BP9" s="13" t="s">
        <v>454</v>
      </c>
      <c r="BQ9" s="8">
        <f t="shared" si="30"/>
        <v>-0.71919429631507903</v>
      </c>
      <c r="BR9" s="13" t="s">
        <v>447</v>
      </c>
      <c r="BS9" s="9" t="str">
        <f t="shared" si="31"/>
        <v>Yes</v>
      </c>
      <c r="BT9" s="9">
        <f t="shared" si="32"/>
        <v>118</v>
      </c>
      <c r="BU9" s="9">
        <f t="shared" si="33"/>
        <v>165</v>
      </c>
      <c r="BV9" s="9" t="str">
        <f t="shared" si="34"/>
        <v>No</v>
      </c>
      <c r="BW9" s="13" t="s">
        <v>442</v>
      </c>
      <c r="BX9" s="9">
        <f t="shared" si="35"/>
        <v>368</v>
      </c>
      <c r="BY9" s="9" t="s">
        <v>275</v>
      </c>
      <c r="BZ9" s="4" t="s">
        <v>119</v>
      </c>
      <c r="CA9" s="10" t="s">
        <v>118</v>
      </c>
      <c r="CB9" s="10" t="s">
        <v>122</v>
      </c>
      <c r="CC9" s="15"/>
      <c r="CD9" s="15"/>
    </row>
    <row r="10" spans="1:82" s="16" customFormat="1" ht="45.75" customHeight="1" x14ac:dyDescent="0.4">
      <c r="A10" s="4" t="s">
        <v>123</v>
      </c>
      <c r="B10" s="4" t="s">
        <v>124</v>
      </c>
      <c r="C10" s="4" t="s">
        <v>125</v>
      </c>
      <c r="D10" s="4" t="s">
        <v>301</v>
      </c>
      <c r="E10" s="4" t="s">
        <v>302</v>
      </c>
      <c r="F10" s="4" t="s">
        <v>303</v>
      </c>
      <c r="G10" s="4" t="s">
        <v>127</v>
      </c>
      <c r="H10" s="4" t="s">
        <v>126</v>
      </c>
      <c r="I10" s="5">
        <v>44037</v>
      </c>
      <c r="J10" s="5">
        <v>44049</v>
      </c>
      <c r="K10" s="13">
        <v>44048</v>
      </c>
      <c r="L10" s="4" t="s">
        <v>304</v>
      </c>
      <c r="M10" s="4" t="s">
        <v>272</v>
      </c>
      <c r="N10" s="12">
        <v>632.33330000000001</v>
      </c>
      <c r="O10" s="12">
        <v>637.33330000000001</v>
      </c>
      <c r="P10" s="12">
        <v>671.33330000000001</v>
      </c>
      <c r="Q10" s="12">
        <v>982.66669999999999</v>
      </c>
      <c r="R10" s="12">
        <v>1028.3334</v>
      </c>
      <c r="S10" s="12">
        <v>1338.3334</v>
      </c>
      <c r="T10" s="12">
        <v>2296.6667000000002</v>
      </c>
      <c r="U10" s="8">
        <f t="shared" si="0"/>
        <v>7.9072223461897906E-3</v>
      </c>
      <c r="V10" s="8">
        <f t="shared" si="1"/>
        <v>6.1676334300281299E-2</v>
      </c>
      <c r="W10" s="8">
        <f t="shared" si="2"/>
        <v>0.55403281781933678</v>
      </c>
      <c r="X10" s="8">
        <f t="shared" si="3"/>
        <v>0.62625216796268668</v>
      </c>
      <c r="Y10" s="8">
        <f t="shared" si="4"/>
        <v>1.1164999534264601</v>
      </c>
      <c r="Z10" s="8">
        <f t="shared" si="5"/>
        <v>2.6320508503980418</v>
      </c>
      <c r="AA10" s="4" t="s">
        <v>305</v>
      </c>
      <c r="AB10" s="12">
        <v>22514.849600000001</v>
      </c>
      <c r="AC10" s="12">
        <v>22329.9395</v>
      </c>
      <c r="AD10" s="12">
        <v>23089.949199999999</v>
      </c>
      <c r="AE10" s="12">
        <v>26547.4395</v>
      </c>
      <c r="AF10" s="12">
        <v>29388.5</v>
      </c>
      <c r="AG10" s="12">
        <v>29696.6309</v>
      </c>
      <c r="AH10" s="12">
        <v>27820.039100000002</v>
      </c>
      <c r="AI10" s="8">
        <f t="shared" si="6"/>
        <v>-8.2128063604742785E-3</v>
      </c>
      <c r="AJ10" s="8">
        <f t="shared" si="7"/>
        <v>2.5543124214340684E-2</v>
      </c>
      <c r="AK10" s="8">
        <f t="shared" si="8"/>
        <v>0.1791080096755342</v>
      </c>
      <c r="AL10" s="8">
        <f t="shared" si="9"/>
        <v>0.30529408466490482</v>
      </c>
      <c r="AM10" s="8">
        <f t="shared" si="10"/>
        <v>0.31897975902979159</v>
      </c>
      <c r="AN10" s="8">
        <f t="shared" si="11"/>
        <v>0.23563068793495301</v>
      </c>
      <c r="AO10" s="8">
        <f t="shared" si="12"/>
        <v>1.6120028706664069E-2</v>
      </c>
      <c r="AP10" s="8">
        <f t="shared" si="13"/>
        <v>3.6133210085940615E-2</v>
      </c>
      <c r="AQ10" s="8">
        <f t="shared" si="14"/>
        <v>0.37492480814380258</v>
      </c>
      <c r="AR10" s="8">
        <f t="shared" si="15"/>
        <v>0.32095808329778186</v>
      </c>
      <c r="AS10" s="8">
        <f t="shared" si="16"/>
        <v>0.79752019439666855</v>
      </c>
      <c r="AT10" s="8">
        <f t="shared" si="17"/>
        <v>2.3964201624630888</v>
      </c>
      <c r="AU10" s="4" t="s">
        <v>306</v>
      </c>
      <c r="AV10" s="12"/>
      <c r="AW10" s="12"/>
      <c r="AX10" s="12"/>
      <c r="AY10" s="12"/>
      <c r="AZ10" s="12"/>
      <c r="BA10" s="12"/>
      <c r="BB10" s="12"/>
      <c r="BC10" s="8" t="str">
        <f t="shared" si="18"/>
        <v/>
      </c>
      <c r="BD10" s="8" t="str">
        <f t="shared" si="19"/>
        <v/>
      </c>
      <c r="BE10" s="8" t="str">
        <f t="shared" si="20"/>
        <v/>
      </c>
      <c r="BF10" s="8" t="str">
        <f t="shared" si="21"/>
        <v/>
      </c>
      <c r="BG10" s="8" t="str">
        <f t="shared" si="22"/>
        <v/>
      </c>
      <c r="BH10" s="8" t="str">
        <f t="shared" si="23"/>
        <v/>
      </c>
      <c r="BI10" s="8" t="str">
        <f t="shared" si="24"/>
        <v/>
      </c>
      <c r="BJ10" s="8" t="str">
        <f t="shared" si="25"/>
        <v/>
      </c>
      <c r="BK10" s="8" t="str">
        <f t="shared" si="26"/>
        <v/>
      </c>
      <c r="BL10" s="8" t="str">
        <f t="shared" si="27"/>
        <v/>
      </c>
      <c r="BM10" s="8" t="str">
        <f t="shared" si="28"/>
        <v/>
      </c>
      <c r="BN10" s="8" t="str">
        <f t="shared" si="29"/>
        <v/>
      </c>
      <c r="BO10" s="12">
        <v>612</v>
      </c>
      <c r="BP10" s="13" t="s">
        <v>455</v>
      </c>
      <c r="BQ10" s="8">
        <f t="shared" si="30"/>
        <v>-3.2155984826356621E-2</v>
      </c>
      <c r="BR10" s="13" t="s">
        <v>448</v>
      </c>
      <c r="BS10" s="9" t="str">
        <f t="shared" si="31"/>
        <v>Yes</v>
      </c>
      <c r="BT10" s="9">
        <f t="shared" si="32"/>
        <v>3</v>
      </c>
      <c r="BU10" s="9">
        <f t="shared" si="33"/>
        <v>2</v>
      </c>
      <c r="BV10" s="9" t="str">
        <f t="shared" si="34"/>
        <v>No</v>
      </c>
      <c r="BW10" s="13" t="s">
        <v>443</v>
      </c>
      <c r="BX10" s="9">
        <f t="shared" si="35"/>
        <v>21</v>
      </c>
      <c r="BY10" s="9" t="s">
        <v>275</v>
      </c>
      <c r="BZ10" s="4" t="s">
        <v>119</v>
      </c>
      <c r="CA10" s="10" t="s">
        <v>134</v>
      </c>
      <c r="CB10" s="10" t="s">
        <v>137</v>
      </c>
      <c r="CC10" s="15"/>
      <c r="CD10" s="15"/>
    </row>
    <row r="11" spans="1:82" s="16" customFormat="1" ht="68.400000000000006" customHeight="1" x14ac:dyDescent="0.4">
      <c r="A11" s="4" t="s">
        <v>138</v>
      </c>
      <c r="B11" s="4" t="s">
        <v>139</v>
      </c>
      <c r="C11" s="4" t="s">
        <v>140</v>
      </c>
      <c r="D11" s="4" t="s">
        <v>307</v>
      </c>
      <c r="E11" s="4" t="s">
        <v>308</v>
      </c>
      <c r="F11" s="4" t="s">
        <v>309</v>
      </c>
      <c r="G11" s="4" t="s">
        <v>142</v>
      </c>
      <c r="H11" s="4" t="s">
        <v>141</v>
      </c>
      <c r="I11" s="5">
        <v>43980</v>
      </c>
      <c r="J11" s="5">
        <v>43985</v>
      </c>
      <c r="K11" s="13">
        <v>43984</v>
      </c>
      <c r="L11" s="4" t="s">
        <v>310</v>
      </c>
      <c r="M11" s="4" t="s">
        <v>272</v>
      </c>
      <c r="N11" s="12">
        <v>22220</v>
      </c>
      <c r="O11" s="12">
        <v>20000</v>
      </c>
      <c r="P11" s="12">
        <v>18988</v>
      </c>
      <c r="Q11" s="12">
        <v>19226</v>
      </c>
      <c r="R11" s="12">
        <v>23202</v>
      </c>
      <c r="S11" s="12">
        <v>25170</v>
      </c>
      <c r="T11" s="12">
        <v>26586</v>
      </c>
      <c r="U11" s="8">
        <f t="shared" si="0"/>
        <v>-9.9909990999099918E-2</v>
      </c>
      <c r="V11" s="8">
        <f t="shared" si="1"/>
        <v>-0.1454545454545455</v>
      </c>
      <c r="W11" s="8">
        <f t="shared" si="2"/>
        <v>-0.13474347434743472</v>
      </c>
      <c r="X11" s="8">
        <f t="shared" si="3"/>
        <v>4.4194419441944133E-2</v>
      </c>
      <c r="Y11" s="8">
        <f t="shared" si="4"/>
        <v>0.13276327632763274</v>
      </c>
      <c r="Z11" s="8">
        <f t="shared" si="5"/>
        <v>0.1964896489648964</v>
      </c>
      <c r="AA11" s="4" t="s">
        <v>311</v>
      </c>
      <c r="AB11" s="12">
        <v>2796.51</v>
      </c>
      <c r="AC11" s="12">
        <v>2766.26</v>
      </c>
      <c r="AD11" s="12">
        <v>2801.6599000000001</v>
      </c>
      <c r="AE11" s="12">
        <v>2881.98</v>
      </c>
      <c r="AF11" s="12">
        <v>3162.6698999999999</v>
      </c>
      <c r="AG11" s="12">
        <v>3343.46</v>
      </c>
      <c r="AH11" s="12">
        <v>3805.45</v>
      </c>
      <c r="AI11" s="8">
        <f t="shared" si="6"/>
        <v>-1.0817054113877678E-2</v>
      </c>
      <c r="AJ11" s="8">
        <f t="shared" si="7"/>
        <v>1.8415453547457883E-3</v>
      </c>
      <c r="AK11" s="8">
        <f t="shared" si="8"/>
        <v>3.0563094714483263E-2</v>
      </c>
      <c r="AL11" s="8">
        <f t="shared" si="9"/>
        <v>0.1309345934754389</v>
      </c>
      <c r="AM11" s="8">
        <f t="shared" si="10"/>
        <v>0.19558306603588038</v>
      </c>
      <c r="AN11" s="8">
        <f t="shared" si="11"/>
        <v>0.36078540752580879</v>
      </c>
      <c r="AO11" s="8">
        <f t="shared" si="12"/>
        <v>-8.909293688522224E-2</v>
      </c>
      <c r="AP11" s="8">
        <f t="shared" si="13"/>
        <v>-0.14729609080929129</v>
      </c>
      <c r="AQ11" s="8">
        <f t="shared" si="14"/>
        <v>-0.16530656906191799</v>
      </c>
      <c r="AR11" s="8">
        <f t="shared" si="15"/>
        <v>-8.6740174033494766E-2</v>
      </c>
      <c r="AS11" s="8">
        <f t="shared" si="16"/>
        <v>-6.2819789708247642E-2</v>
      </c>
      <c r="AT11" s="8">
        <f t="shared" si="17"/>
        <v>-0.16429575856091239</v>
      </c>
      <c r="AU11" s="4" t="s">
        <v>312</v>
      </c>
      <c r="AV11" s="12"/>
      <c r="AW11" s="12"/>
      <c r="AX11" s="12"/>
      <c r="AY11" s="12"/>
      <c r="AZ11" s="12"/>
      <c r="BA11" s="12"/>
      <c r="BB11" s="12"/>
      <c r="BC11" s="8" t="str">
        <f t="shared" si="18"/>
        <v/>
      </c>
      <c r="BD11" s="8" t="str">
        <f t="shared" si="19"/>
        <v/>
      </c>
      <c r="BE11" s="8" t="str">
        <f t="shared" si="20"/>
        <v/>
      </c>
      <c r="BF11" s="8" t="str">
        <f t="shared" si="21"/>
        <v/>
      </c>
      <c r="BG11" s="8" t="str">
        <f t="shared" si="22"/>
        <v/>
      </c>
      <c r="BH11" s="8" t="str">
        <f t="shared" si="23"/>
        <v/>
      </c>
      <c r="BI11" s="8" t="str">
        <f t="shared" si="24"/>
        <v/>
      </c>
      <c r="BJ11" s="8" t="str">
        <f t="shared" si="25"/>
        <v/>
      </c>
      <c r="BK11" s="8" t="str">
        <f t="shared" si="26"/>
        <v/>
      </c>
      <c r="BL11" s="8" t="str">
        <f t="shared" si="27"/>
        <v/>
      </c>
      <c r="BM11" s="8" t="str">
        <f t="shared" si="28"/>
        <v/>
      </c>
      <c r="BN11" s="8" t="str">
        <f t="shared" si="29"/>
        <v/>
      </c>
      <c r="BO11" s="12">
        <v>17680</v>
      </c>
      <c r="BP11" s="13" t="s">
        <v>456</v>
      </c>
      <c r="BQ11" s="8">
        <f t="shared" si="30"/>
        <v>-0.20432043204320427</v>
      </c>
      <c r="BR11" s="13" t="s">
        <v>449</v>
      </c>
      <c r="BS11" s="9" t="str">
        <f t="shared" si="31"/>
        <v>Yes</v>
      </c>
      <c r="BT11" s="9">
        <f t="shared" si="32"/>
        <v>132</v>
      </c>
      <c r="BU11" s="9">
        <f t="shared" si="33"/>
        <v>183</v>
      </c>
      <c r="BV11" s="9" t="str">
        <f t="shared" si="34"/>
        <v>No</v>
      </c>
      <c r="BW11" s="13" t="s">
        <v>444</v>
      </c>
      <c r="BX11" s="9">
        <f t="shared" si="35"/>
        <v>57</v>
      </c>
      <c r="BY11" s="9" t="s">
        <v>275</v>
      </c>
      <c r="BZ11" s="4" t="s">
        <v>119</v>
      </c>
      <c r="CA11" s="10" t="s">
        <v>149</v>
      </c>
      <c r="CB11" s="10" t="s">
        <v>152</v>
      </c>
      <c r="CC11" s="15"/>
      <c r="CD11" s="15"/>
    </row>
    <row r="12" spans="1:82" s="16" customFormat="1" ht="45.75" customHeight="1" x14ac:dyDescent="0.4">
      <c r="A12" s="4" t="s">
        <v>153</v>
      </c>
      <c r="B12" s="4" t="s">
        <v>154</v>
      </c>
      <c r="C12" s="4" t="s">
        <v>155</v>
      </c>
      <c r="D12" s="4" t="s">
        <v>313</v>
      </c>
      <c r="E12" s="4" t="s">
        <v>314</v>
      </c>
      <c r="F12" s="4" t="s">
        <v>315</v>
      </c>
      <c r="G12" s="4" t="s">
        <v>157</v>
      </c>
      <c r="H12" s="4" t="s">
        <v>156</v>
      </c>
      <c r="I12" s="5">
        <v>40046</v>
      </c>
      <c r="J12" s="5">
        <v>40046</v>
      </c>
      <c r="K12" s="13">
        <v>40045</v>
      </c>
      <c r="L12" s="4" t="s">
        <v>316</v>
      </c>
      <c r="M12" s="4" t="s">
        <v>272</v>
      </c>
      <c r="N12" s="12">
        <v>136.93960000000001</v>
      </c>
      <c r="O12" s="12">
        <v>138.4016</v>
      </c>
      <c r="P12" s="12">
        <v>141.32550000000001</v>
      </c>
      <c r="Q12" s="12">
        <v>137.42689999999999</v>
      </c>
      <c r="R12" s="12">
        <v>132.06630000000001</v>
      </c>
      <c r="S12" s="12">
        <v>141.81290000000001</v>
      </c>
      <c r="T12" s="12">
        <v>144.24950000000001</v>
      </c>
      <c r="U12" s="8">
        <f t="shared" si="0"/>
        <v>1.0676239743653282E-2</v>
      </c>
      <c r="V12" s="8">
        <f t="shared" si="1"/>
        <v>3.2027988982003652E-2</v>
      </c>
      <c r="W12" s="8">
        <f t="shared" si="2"/>
        <v>3.5585031648988075E-3</v>
      </c>
      <c r="X12" s="8">
        <f t="shared" si="3"/>
        <v>-3.5587222395859208E-2</v>
      </c>
      <c r="Y12" s="8">
        <f t="shared" si="4"/>
        <v>3.5587222395859097E-2</v>
      </c>
      <c r="Z12" s="8">
        <f t="shared" si="5"/>
        <v>5.3380468469310438E-2</v>
      </c>
      <c r="AA12" s="4" t="s">
        <v>317</v>
      </c>
      <c r="AB12" s="12">
        <v>640.98</v>
      </c>
      <c r="AC12" s="12">
        <v>653.20000000000005</v>
      </c>
      <c r="AD12" s="12">
        <v>713.16</v>
      </c>
      <c r="AE12" s="12">
        <v>715.17</v>
      </c>
      <c r="AF12" s="12">
        <v>705.8</v>
      </c>
      <c r="AG12" s="12">
        <v>757.85</v>
      </c>
      <c r="AH12" s="12">
        <v>894.78</v>
      </c>
      <c r="AI12" s="8">
        <f t="shared" si="6"/>
        <v>1.9064557396486714E-2</v>
      </c>
      <c r="AJ12" s="8">
        <f t="shared" si="7"/>
        <v>0.1126088177478235</v>
      </c>
      <c r="AK12" s="8">
        <f t="shared" si="8"/>
        <v>0.1157446410184404</v>
      </c>
      <c r="AL12" s="8">
        <f t="shared" si="9"/>
        <v>0.1011264001996941</v>
      </c>
      <c r="AM12" s="8">
        <f t="shared" si="10"/>
        <v>0.182330181908952</v>
      </c>
      <c r="AN12" s="8">
        <f t="shared" si="11"/>
        <v>0.39595619208087607</v>
      </c>
      <c r="AO12" s="8">
        <f t="shared" si="12"/>
        <v>-8.3883176528334324E-3</v>
      </c>
      <c r="AP12" s="8">
        <f t="shared" si="13"/>
        <v>-8.0580828765819845E-2</v>
      </c>
      <c r="AQ12" s="8">
        <f t="shared" si="14"/>
        <v>-0.11218613785354159</v>
      </c>
      <c r="AR12" s="8">
        <f t="shared" si="15"/>
        <v>-0.13671362259555331</v>
      </c>
      <c r="AS12" s="8">
        <f t="shared" si="16"/>
        <v>-0.14674295951309291</v>
      </c>
      <c r="AT12" s="8">
        <f t="shared" si="17"/>
        <v>-0.34257572361156563</v>
      </c>
      <c r="AU12" s="4" t="s">
        <v>119</v>
      </c>
      <c r="AV12" s="12"/>
      <c r="AW12" s="12"/>
      <c r="AX12" s="12"/>
      <c r="AY12" s="12"/>
      <c r="AZ12" s="12"/>
      <c r="BA12" s="12"/>
      <c r="BB12" s="12"/>
      <c r="BC12" s="8" t="str">
        <f t="shared" si="18"/>
        <v/>
      </c>
      <c r="BD12" s="8" t="str">
        <f t="shared" si="19"/>
        <v/>
      </c>
      <c r="BE12" s="8" t="str">
        <f t="shared" si="20"/>
        <v/>
      </c>
      <c r="BF12" s="8" t="str">
        <f t="shared" si="21"/>
        <v/>
      </c>
      <c r="BG12" s="8" t="str">
        <f t="shared" si="22"/>
        <v/>
      </c>
      <c r="BH12" s="8" t="str">
        <f t="shared" si="23"/>
        <v/>
      </c>
      <c r="BI12" s="8" t="str">
        <f t="shared" si="24"/>
        <v/>
      </c>
      <c r="BJ12" s="8" t="str">
        <f t="shared" si="25"/>
        <v/>
      </c>
      <c r="BK12" s="8" t="str">
        <f t="shared" si="26"/>
        <v/>
      </c>
      <c r="BL12" s="8" t="str">
        <f t="shared" si="27"/>
        <v/>
      </c>
      <c r="BM12" s="8" t="str">
        <f t="shared" si="28"/>
        <v/>
      </c>
      <c r="BN12" s="8" t="str">
        <f t="shared" si="29"/>
        <v/>
      </c>
      <c r="BO12" s="12">
        <v>122.807</v>
      </c>
      <c r="BP12" s="13" t="s">
        <v>457</v>
      </c>
      <c r="BQ12" s="8">
        <f t="shared" si="30"/>
        <v>-0.10320316402267871</v>
      </c>
      <c r="BR12" s="13" t="s">
        <v>450</v>
      </c>
      <c r="BS12" s="9" t="str">
        <f t="shared" si="31"/>
        <v>Yes</v>
      </c>
      <c r="BT12" s="9">
        <f t="shared" si="32"/>
        <v>7</v>
      </c>
      <c r="BU12" s="9">
        <f t="shared" si="33"/>
        <v>8</v>
      </c>
      <c r="BV12" s="9" t="str">
        <f t="shared" si="34"/>
        <v>No</v>
      </c>
      <c r="BW12" s="13" t="s">
        <v>445</v>
      </c>
      <c r="BX12" s="9">
        <f t="shared" si="35"/>
        <v>118</v>
      </c>
      <c r="BY12" s="9" t="s">
        <v>275</v>
      </c>
      <c r="BZ12" s="4" t="s">
        <v>119</v>
      </c>
      <c r="CA12" s="10" t="s">
        <v>164</v>
      </c>
      <c r="CB12" s="10" t="s">
        <v>167</v>
      </c>
      <c r="CC12" s="15"/>
      <c r="CD12" s="15"/>
    </row>
    <row r="13" spans="1:82" s="16" customFormat="1" ht="45.75" customHeight="1" x14ac:dyDescent="0.4">
      <c r="A13" s="4" t="s">
        <v>168</v>
      </c>
      <c r="B13" s="4" t="s">
        <v>169</v>
      </c>
      <c r="C13" s="4" t="s">
        <v>170</v>
      </c>
      <c r="D13" s="4" t="s">
        <v>318</v>
      </c>
      <c r="E13" s="4" t="s">
        <v>319</v>
      </c>
      <c r="F13" s="4" t="s">
        <v>278</v>
      </c>
      <c r="G13" s="4" t="s">
        <v>172</v>
      </c>
      <c r="H13" s="4" t="s">
        <v>171</v>
      </c>
      <c r="I13" s="5">
        <v>40288</v>
      </c>
      <c r="J13" s="5">
        <v>40289</v>
      </c>
      <c r="K13" s="13">
        <v>40288</v>
      </c>
      <c r="L13" s="4" t="s">
        <v>279</v>
      </c>
      <c r="M13" s="4" t="s">
        <v>272</v>
      </c>
      <c r="N13" s="12"/>
      <c r="O13" s="12"/>
      <c r="P13" s="12"/>
      <c r="Q13" s="12"/>
      <c r="R13" s="12"/>
      <c r="S13" s="12"/>
      <c r="T13" s="12"/>
      <c r="U13" s="8" t="str">
        <f t="shared" si="0"/>
        <v/>
      </c>
      <c r="V13" s="8" t="str">
        <f t="shared" si="1"/>
        <v/>
      </c>
      <c r="W13" s="8" t="str">
        <f t="shared" si="2"/>
        <v/>
      </c>
      <c r="X13" s="8" t="str">
        <f t="shared" si="3"/>
        <v/>
      </c>
      <c r="Y13" s="8" t="str">
        <f t="shared" si="4"/>
        <v/>
      </c>
      <c r="Z13" s="8" t="str">
        <f t="shared" si="5"/>
        <v/>
      </c>
      <c r="AA13" s="4" t="s">
        <v>273</v>
      </c>
      <c r="AB13" s="12">
        <v>1207.17</v>
      </c>
      <c r="AC13" s="12">
        <v>1208.67</v>
      </c>
      <c r="AD13" s="12">
        <v>1087.6899000000001</v>
      </c>
      <c r="AE13" s="12">
        <v>1067.3599999999999</v>
      </c>
      <c r="AF13" s="12">
        <v>1180.26</v>
      </c>
      <c r="AG13" s="12">
        <v>1254.5999999999999</v>
      </c>
      <c r="AH13" s="12">
        <v>1337.38</v>
      </c>
      <c r="AI13" s="8">
        <f t="shared" si="6"/>
        <v>1.2425756107259378E-3</v>
      </c>
      <c r="AJ13" s="8">
        <f t="shared" si="7"/>
        <v>-9.8975372151395402E-2</v>
      </c>
      <c r="AK13" s="8">
        <f t="shared" si="8"/>
        <v>-0.11581633075705999</v>
      </c>
      <c r="AL13" s="8">
        <f t="shared" si="9"/>
        <v>-2.2291806456422925E-2</v>
      </c>
      <c r="AM13" s="8">
        <f t="shared" si="10"/>
        <v>3.9290240811153287E-2</v>
      </c>
      <c r="AN13" s="8">
        <f t="shared" si="11"/>
        <v>0.1078638468484141</v>
      </c>
      <c r="AO13" s="8" t="str">
        <f t="shared" si="12"/>
        <v/>
      </c>
      <c r="AP13" s="8" t="str">
        <f t="shared" si="13"/>
        <v/>
      </c>
      <c r="AQ13" s="8" t="str">
        <f t="shared" si="14"/>
        <v/>
      </c>
      <c r="AR13" s="8" t="str">
        <f t="shared" si="15"/>
        <v/>
      </c>
      <c r="AS13" s="8" t="str">
        <f t="shared" si="16"/>
        <v/>
      </c>
      <c r="AT13" s="8" t="str">
        <f t="shared" si="17"/>
        <v/>
      </c>
      <c r="AU13" s="4" t="s">
        <v>320</v>
      </c>
      <c r="AV13" s="12">
        <v>30.27</v>
      </c>
      <c r="AW13" s="12">
        <v>30.315000000000001</v>
      </c>
      <c r="AX13" s="12">
        <v>26.535</v>
      </c>
      <c r="AY13" s="12">
        <v>26.105</v>
      </c>
      <c r="AZ13" s="12">
        <v>29.454999999999998</v>
      </c>
      <c r="BA13" s="12">
        <v>33.494999999999997</v>
      </c>
      <c r="BB13" s="12">
        <v>39.49</v>
      </c>
      <c r="BC13" s="8">
        <f t="shared" si="18"/>
        <v>1.4866204162538033E-3</v>
      </c>
      <c r="BD13" s="8">
        <f t="shared" si="19"/>
        <v>-0.12338949454905845</v>
      </c>
      <c r="BE13" s="8">
        <f t="shared" si="20"/>
        <v>-0.13759497852659397</v>
      </c>
      <c r="BF13" s="8">
        <f t="shared" si="21"/>
        <v>-2.6924347538817339E-2</v>
      </c>
      <c r="BG13" s="8">
        <f t="shared" si="22"/>
        <v>0.1065411298315162</v>
      </c>
      <c r="BH13" s="8">
        <f t="shared" si="23"/>
        <v>0.30459200528576158</v>
      </c>
      <c r="BI13" s="8" t="str">
        <f t="shared" si="24"/>
        <v/>
      </c>
      <c r="BJ13" s="8" t="str">
        <f t="shared" si="25"/>
        <v/>
      </c>
      <c r="BK13" s="8" t="str">
        <f t="shared" si="26"/>
        <v/>
      </c>
      <c r="BL13" s="8" t="str">
        <f t="shared" si="27"/>
        <v/>
      </c>
      <c r="BM13" s="8" t="str">
        <f t="shared" si="28"/>
        <v/>
      </c>
      <c r="BN13" s="8" t="str">
        <f t="shared" si="29"/>
        <v/>
      </c>
      <c r="BO13" s="7"/>
      <c r="BP13" s="6"/>
      <c r="BQ13" s="8" t="str">
        <f t="shared" si="30"/>
        <v/>
      </c>
      <c r="BR13" s="6"/>
      <c r="BS13" s="9" t="str">
        <f t="shared" si="31"/>
        <v>Pending input</v>
      </c>
      <c r="BT13" s="9" t="str">
        <f t="shared" si="32"/>
        <v/>
      </c>
      <c r="BU13" s="9" t="str">
        <f t="shared" si="33"/>
        <v/>
      </c>
      <c r="BV13" s="9" t="str">
        <f t="shared" si="34"/>
        <v/>
      </c>
      <c r="BW13" s="6"/>
      <c r="BX13" s="9" t="str">
        <f t="shared" si="35"/>
        <v/>
      </c>
      <c r="BY13" s="9" t="s">
        <v>275</v>
      </c>
      <c r="BZ13" s="4" t="s">
        <v>179</v>
      </c>
      <c r="CA13" s="10" t="s">
        <v>178</v>
      </c>
      <c r="CB13" s="10" t="s">
        <v>182</v>
      </c>
      <c r="CC13" s="15"/>
      <c r="CD13" s="15"/>
    </row>
    <row r="14" spans="1:82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1:82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1:82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21:21" x14ac:dyDescent="0.3">
      <c r="U17" s="33"/>
    </row>
    <row r="19" spans="21:21" x14ac:dyDescent="0.3">
      <c r="U19" s="33"/>
    </row>
  </sheetData>
  <mergeCells count="13">
    <mergeCell ref="BY1:CB2"/>
    <mergeCell ref="A1:C2"/>
    <mergeCell ref="D1:M2"/>
    <mergeCell ref="N1:T2"/>
    <mergeCell ref="U1:Z2"/>
    <mergeCell ref="AA1:AH2"/>
    <mergeCell ref="AI1:AN2"/>
    <mergeCell ref="AO1:AT2"/>
    <mergeCell ref="AU1:BB2"/>
    <mergeCell ref="BC1:BH2"/>
    <mergeCell ref="BI1:BN2"/>
    <mergeCell ref="BO1:BQ2"/>
    <mergeCell ref="BR1:BX2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showGridLines="0" zoomScaleNormal="100" workbookViewId="0">
      <pane ySplit="5" topLeftCell="A6" activePane="bottomLeft" state="frozen"/>
      <selection pane="bottomLeft" activeCell="D2" sqref="D2"/>
    </sheetView>
  </sheetViews>
  <sheetFormatPr defaultColWidth="8.6640625" defaultRowHeight="16.8" x14ac:dyDescent="0.4"/>
  <cols>
    <col min="1" max="1" width="8.6640625" style="55"/>
    <col min="2" max="2" width="9" style="55" customWidth="1"/>
    <col min="3" max="3" width="22" style="55" customWidth="1"/>
    <col min="4" max="4" width="16" style="55" customWidth="1"/>
    <col min="5" max="5" width="9" style="55" customWidth="1"/>
    <col min="6" max="6" width="16" style="55" customWidth="1"/>
    <col min="7" max="7" width="40" style="55" customWidth="1"/>
    <col min="8" max="9" width="18" style="55" customWidth="1"/>
    <col min="10" max="10" width="15" style="55" customWidth="1"/>
    <col min="11" max="11" width="54" style="55" customWidth="1"/>
    <col min="12" max="12" width="30" style="55" customWidth="1"/>
    <col min="13" max="16384" width="8.6640625" style="55"/>
  </cols>
  <sheetData>
    <row r="1" spans="1:13" ht="64.8" customHeight="1" x14ac:dyDescent="0.55000000000000004">
      <c r="B1" s="57"/>
      <c r="C1" s="57"/>
      <c r="D1" s="57"/>
      <c r="E1" s="58" t="s">
        <v>321</v>
      </c>
      <c r="F1" s="58"/>
      <c r="G1" s="58"/>
      <c r="H1" s="58"/>
      <c r="I1" s="58"/>
      <c r="J1" s="58"/>
    </row>
    <row r="2" spans="1:13" ht="26.4" customHeight="1" x14ac:dyDescent="0.55000000000000004">
      <c r="B2" s="60"/>
      <c r="C2" s="60"/>
      <c r="D2" s="60"/>
      <c r="E2" s="61"/>
      <c r="F2" s="61"/>
      <c r="G2" s="61"/>
      <c r="H2" s="61"/>
      <c r="I2" s="61"/>
      <c r="J2" s="61"/>
    </row>
    <row r="3" spans="1:13" ht="39" customHeight="1" x14ac:dyDescent="0.4">
      <c r="A3" s="56"/>
      <c r="B3" s="62" t="s">
        <v>322</v>
      </c>
      <c r="C3" s="62"/>
      <c r="D3" s="62"/>
      <c r="E3" s="62"/>
      <c r="F3" s="62"/>
      <c r="G3" s="62"/>
      <c r="H3" s="59"/>
      <c r="I3" s="59"/>
      <c r="J3" s="59"/>
      <c r="K3" s="59"/>
      <c r="L3" s="59"/>
      <c r="M3" s="56"/>
    </row>
    <row r="4" spans="1:13" x14ac:dyDescent="0.4">
      <c r="A4" s="56"/>
      <c r="M4" s="56"/>
    </row>
    <row r="5" spans="1:13" ht="33.75" customHeight="1" x14ac:dyDescent="0.4">
      <c r="A5" s="56"/>
      <c r="B5" s="50" t="s">
        <v>0</v>
      </c>
      <c r="C5" s="50" t="s">
        <v>2</v>
      </c>
      <c r="D5" s="50" t="s">
        <v>323</v>
      </c>
      <c r="E5" s="50" t="s">
        <v>199</v>
      </c>
      <c r="F5" s="50" t="s">
        <v>324</v>
      </c>
      <c r="G5" s="50" t="s">
        <v>325</v>
      </c>
      <c r="H5" s="50" t="s">
        <v>326</v>
      </c>
      <c r="I5" s="50" t="s">
        <v>327</v>
      </c>
      <c r="J5" s="50" t="s">
        <v>328</v>
      </c>
      <c r="K5" s="50" t="s">
        <v>329</v>
      </c>
      <c r="L5" s="50" t="s">
        <v>330</v>
      </c>
      <c r="M5" s="56"/>
    </row>
    <row r="6" spans="1:13" ht="57.75" customHeight="1" x14ac:dyDescent="0.4">
      <c r="A6" s="56"/>
      <c r="B6" s="53" t="s">
        <v>22</v>
      </c>
      <c r="C6" s="53" t="s">
        <v>24</v>
      </c>
      <c r="D6" s="53" t="s">
        <v>269</v>
      </c>
      <c r="E6" s="53" t="s">
        <v>279</v>
      </c>
      <c r="F6" s="53" t="s">
        <v>272</v>
      </c>
      <c r="G6" s="53" t="s">
        <v>331</v>
      </c>
      <c r="H6" s="53" t="s">
        <v>273</v>
      </c>
      <c r="I6" s="53" t="s">
        <v>274</v>
      </c>
      <c r="J6" s="54" t="s">
        <v>332</v>
      </c>
      <c r="K6" s="53" t="s">
        <v>333</v>
      </c>
      <c r="L6" s="53" t="s">
        <v>334</v>
      </c>
      <c r="M6" s="56"/>
    </row>
    <row r="7" spans="1:13" ht="57.75" customHeight="1" x14ac:dyDescent="0.4">
      <c r="A7" s="56"/>
      <c r="B7" s="53" t="s">
        <v>40</v>
      </c>
      <c r="C7" s="53" t="s">
        <v>42</v>
      </c>
      <c r="D7" s="53" t="s">
        <v>277</v>
      </c>
      <c r="E7" s="53" t="s">
        <v>279</v>
      </c>
      <c r="F7" s="53" t="s">
        <v>272</v>
      </c>
      <c r="G7" s="53" t="s">
        <v>335</v>
      </c>
      <c r="H7" s="53" t="s">
        <v>273</v>
      </c>
      <c r="I7" s="53" t="s">
        <v>280</v>
      </c>
      <c r="J7" s="54" t="s">
        <v>336</v>
      </c>
      <c r="K7" s="53" t="s">
        <v>337</v>
      </c>
      <c r="L7" s="53" t="s">
        <v>338</v>
      </c>
      <c r="M7" s="56"/>
    </row>
    <row r="8" spans="1:13" ht="57.75" customHeight="1" x14ac:dyDescent="0.4">
      <c r="A8" s="56"/>
      <c r="B8" s="53" t="s">
        <v>58</v>
      </c>
      <c r="C8" s="53" t="s">
        <v>60</v>
      </c>
      <c r="D8" s="53" t="s">
        <v>282</v>
      </c>
      <c r="E8" s="53" t="s">
        <v>279</v>
      </c>
      <c r="F8" s="53" t="s">
        <v>272</v>
      </c>
      <c r="G8" s="53" t="s">
        <v>339</v>
      </c>
      <c r="H8" s="53" t="s">
        <v>273</v>
      </c>
      <c r="I8" s="53" t="s">
        <v>283</v>
      </c>
      <c r="J8" s="54" t="s">
        <v>332</v>
      </c>
      <c r="K8" s="53" t="s">
        <v>333</v>
      </c>
      <c r="L8" s="53" t="s">
        <v>340</v>
      </c>
      <c r="M8" s="56"/>
    </row>
    <row r="9" spans="1:13" ht="57.75" customHeight="1" x14ac:dyDescent="0.4">
      <c r="A9" s="56"/>
      <c r="B9" s="53" t="s">
        <v>75</v>
      </c>
      <c r="C9" s="53" t="s">
        <v>77</v>
      </c>
      <c r="D9" s="53" t="s">
        <v>341</v>
      </c>
      <c r="E9" s="53" t="s">
        <v>342</v>
      </c>
      <c r="F9" s="53" t="s">
        <v>272</v>
      </c>
      <c r="G9" s="53" t="s">
        <v>343</v>
      </c>
      <c r="H9" s="53" t="s">
        <v>288</v>
      </c>
      <c r="I9" s="53" t="s">
        <v>289</v>
      </c>
      <c r="J9" s="54" t="s">
        <v>344</v>
      </c>
      <c r="K9" s="53" t="s">
        <v>345</v>
      </c>
      <c r="L9" s="53" t="s">
        <v>346</v>
      </c>
      <c r="M9" s="56"/>
    </row>
    <row r="10" spans="1:13" ht="57.75" customHeight="1" x14ac:dyDescent="0.4">
      <c r="A10" s="56"/>
      <c r="B10" s="51" t="s">
        <v>90</v>
      </c>
      <c r="C10" s="51" t="s">
        <v>92</v>
      </c>
      <c r="D10" s="51" t="s">
        <v>291</v>
      </c>
      <c r="E10" s="51" t="s">
        <v>279</v>
      </c>
      <c r="F10" s="51" t="s">
        <v>272</v>
      </c>
      <c r="G10" s="51" t="s">
        <v>347</v>
      </c>
      <c r="H10" s="51" t="s">
        <v>273</v>
      </c>
      <c r="I10" s="51" t="s">
        <v>293</v>
      </c>
      <c r="J10" s="52" t="s">
        <v>348</v>
      </c>
      <c r="K10" s="51" t="s">
        <v>349</v>
      </c>
      <c r="L10" s="51" t="s">
        <v>350</v>
      </c>
      <c r="M10" s="56"/>
    </row>
    <row r="11" spans="1:13" ht="57.75" customHeight="1" x14ac:dyDescent="0.4">
      <c r="A11" s="56"/>
      <c r="B11" s="53" t="s">
        <v>107</v>
      </c>
      <c r="C11" s="53" t="s">
        <v>109</v>
      </c>
      <c r="D11" s="53" t="s">
        <v>296</v>
      </c>
      <c r="E11" s="53" t="s">
        <v>298</v>
      </c>
      <c r="F11" s="53" t="s">
        <v>272</v>
      </c>
      <c r="G11" s="53" t="s">
        <v>351</v>
      </c>
      <c r="H11" s="53" t="s">
        <v>299</v>
      </c>
      <c r="I11" s="53" t="s">
        <v>300</v>
      </c>
      <c r="J11" s="54" t="s">
        <v>352</v>
      </c>
      <c r="K11" s="53" t="s">
        <v>353</v>
      </c>
      <c r="L11" s="53" t="s">
        <v>354</v>
      </c>
      <c r="M11" s="56"/>
    </row>
    <row r="12" spans="1:13" ht="57.75" customHeight="1" x14ac:dyDescent="0.4">
      <c r="A12" s="56"/>
      <c r="B12" s="53" t="s">
        <v>123</v>
      </c>
      <c r="C12" s="53" t="s">
        <v>125</v>
      </c>
      <c r="D12" s="53" t="s">
        <v>302</v>
      </c>
      <c r="E12" s="53" t="s">
        <v>304</v>
      </c>
      <c r="F12" s="53" t="s">
        <v>272</v>
      </c>
      <c r="G12" s="53" t="s">
        <v>355</v>
      </c>
      <c r="H12" s="53" t="s">
        <v>305</v>
      </c>
      <c r="I12" s="53" t="s">
        <v>306</v>
      </c>
      <c r="J12" s="54" t="s">
        <v>356</v>
      </c>
      <c r="K12" s="53" t="s">
        <v>357</v>
      </c>
      <c r="L12" s="53" t="s">
        <v>358</v>
      </c>
      <c r="M12" s="56"/>
    </row>
    <row r="13" spans="1:13" ht="57.75" customHeight="1" x14ac:dyDescent="0.4">
      <c r="A13" s="56"/>
      <c r="B13" s="53" t="s">
        <v>138</v>
      </c>
      <c r="C13" s="53" t="s">
        <v>140</v>
      </c>
      <c r="D13" s="53" t="s">
        <v>308</v>
      </c>
      <c r="E13" s="53" t="s">
        <v>359</v>
      </c>
      <c r="F13" s="53" t="s">
        <v>272</v>
      </c>
      <c r="G13" s="53" t="s">
        <v>360</v>
      </c>
      <c r="H13" s="53" t="s">
        <v>311</v>
      </c>
      <c r="I13" s="53" t="s">
        <v>312</v>
      </c>
      <c r="J13" s="54" t="s">
        <v>361</v>
      </c>
      <c r="K13" s="53" t="s">
        <v>362</v>
      </c>
      <c r="L13" s="53" t="s">
        <v>363</v>
      </c>
      <c r="M13" s="56"/>
    </row>
    <row r="14" spans="1:13" ht="57.75" customHeight="1" x14ac:dyDescent="0.4">
      <c r="A14" s="56"/>
      <c r="B14" s="53" t="s">
        <v>153</v>
      </c>
      <c r="C14" s="53" t="s">
        <v>155</v>
      </c>
      <c r="D14" s="53" t="s">
        <v>314</v>
      </c>
      <c r="E14" s="53" t="s">
        <v>316</v>
      </c>
      <c r="F14" s="53" t="s">
        <v>272</v>
      </c>
      <c r="G14" s="53" t="s">
        <v>364</v>
      </c>
      <c r="H14" s="53" t="s">
        <v>317</v>
      </c>
      <c r="I14" s="53" t="s">
        <v>119</v>
      </c>
      <c r="J14" s="54" t="s">
        <v>365</v>
      </c>
      <c r="K14" s="53" t="s">
        <v>366</v>
      </c>
      <c r="L14" s="53" t="s">
        <v>367</v>
      </c>
      <c r="M14" s="56"/>
    </row>
    <row r="15" spans="1:13" ht="57.75" customHeight="1" x14ac:dyDescent="0.4">
      <c r="A15" s="56"/>
      <c r="B15" s="53" t="s">
        <v>168</v>
      </c>
      <c r="C15" s="53" t="s">
        <v>170</v>
      </c>
      <c r="D15" s="53" t="s">
        <v>368</v>
      </c>
      <c r="E15" s="53" t="s">
        <v>279</v>
      </c>
      <c r="F15" s="53" t="s">
        <v>272</v>
      </c>
      <c r="G15" s="53" t="s">
        <v>369</v>
      </c>
      <c r="H15" s="53" t="s">
        <v>273</v>
      </c>
      <c r="I15" s="53" t="s">
        <v>320</v>
      </c>
      <c r="J15" s="54" t="s">
        <v>332</v>
      </c>
      <c r="K15" s="53" t="s">
        <v>333</v>
      </c>
      <c r="L15" s="53" t="s">
        <v>340</v>
      </c>
      <c r="M15" s="56"/>
    </row>
    <row r="16" spans="1:13" x14ac:dyDescent="0.4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</sheetData>
  <mergeCells count="3">
    <mergeCell ref="B1:D1"/>
    <mergeCell ref="E1:J1"/>
    <mergeCell ref="B3:G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0"/>
  <sheetViews>
    <sheetView showGridLines="0" zoomScaleNormal="100" workbookViewId="0">
      <selection activeCell="G25" sqref="G25"/>
    </sheetView>
  </sheetViews>
  <sheetFormatPr defaultColWidth="8.6640625" defaultRowHeight="14.4" x14ac:dyDescent="0.3"/>
  <cols>
    <col min="1" max="1" width="40" style="2" customWidth="1"/>
    <col min="2" max="4" width="16" style="2" customWidth="1"/>
    <col min="5" max="5" width="18" style="2" customWidth="1"/>
    <col min="6" max="7" width="8.6640625" style="2"/>
    <col min="8" max="8" width="3.109375" style="2" customWidth="1"/>
    <col min="9" max="14" width="8.6640625" style="2"/>
    <col min="15" max="15" width="13.77734375" style="2" customWidth="1"/>
    <col min="16" max="17" width="8.6640625" style="2"/>
    <col min="18" max="18" width="8" style="2" customWidth="1"/>
    <col min="19" max="19" width="3.77734375" style="2" customWidth="1"/>
    <col min="20" max="16384" width="8.6640625" style="2"/>
  </cols>
  <sheetData>
    <row r="1" spans="1:19" x14ac:dyDescent="0.3">
      <c r="A1" s="14"/>
      <c r="B1" s="14"/>
      <c r="C1" s="14"/>
      <c r="D1" s="14"/>
      <c r="E1" s="14"/>
      <c r="F1" s="14"/>
    </row>
    <row r="2" spans="1:19" ht="16.8" x14ac:dyDescent="0.3">
      <c r="A2" s="47" t="s">
        <v>433</v>
      </c>
      <c r="B2" s="47"/>
      <c r="C2" s="47"/>
      <c r="D2" s="47"/>
      <c r="E2" s="47"/>
      <c r="F2" s="14"/>
    </row>
    <row r="3" spans="1:19" ht="42" customHeight="1" x14ac:dyDescent="0.3">
      <c r="A3" s="48" t="s">
        <v>370</v>
      </c>
      <c r="B3" s="48"/>
      <c r="C3" s="48"/>
      <c r="D3" s="48"/>
      <c r="E3" s="48"/>
      <c r="F3" s="14"/>
    </row>
    <row r="4" spans="1:19" ht="24" x14ac:dyDescent="0.3">
      <c r="A4" s="21" t="s">
        <v>371</v>
      </c>
      <c r="B4" s="1" t="s">
        <v>372</v>
      </c>
      <c r="C4" s="1" t="s">
        <v>373</v>
      </c>
      <c r="D4" s="1" t="s">
        <v>374</v>
      </c>
      <c r="E4" s="1" t="s">
        <v>375</v>
      </c>
      <c r="F4" s="14"/>
    </row>
    <row r="5" spans="1:19" ht="21" customHeight="1" x14ac:dyDescent="0.3">
      <c r="A5" s="22" t="s">
        <v>376</v>
      </c>
      <c r="B5" s="19"/>
      <c r="C5" s="19"/>
      <c r="D5" s="19"/>
      <c r="E5" s="19"/>
      <c r="F5" s="14"/>
    </row>
    <row r="6" spans="1:19" x14ac:dyDescent="0.3">
      <c r="A6" s="24" t="s">
        <v>377</v>
      </c>
      <c r="B6" s="25">
        <f>IFERROR(AVERAGE('Master Database'!U4:U13),"")</f>
        <v>-2.1216936747590127E-2</v>
      </c>
      <c r="C6" s="25">
        <f>IFERROR(MEDIAN('Master Database'!U4:U13),"")</f>
        <v>-6.2830687830687237E-3</v>
      </c>
      <c r="D6" s="25">
        <f>IFERROR(AVERAGEIFS('Master Database'!U4:U13,'Master Database'!BY4:BY13,"Yes"),"")</f>
        <v>-2.2277823289412288E-2</v>
      </c>
      <c r="E6" s="25">
        <f>IFERROR(MEDIAN(IF('Master Database'!BY4:BY13="Yes",'Master Database'!U4:U13)),"")</f>
        <v>-6.2830687830687237E-3</v>
      </c>
      <c r="F6" s="14"/>
    </row>
    <row r="7" spans="1:19" x14ac:dyDescent="0.3">
      <c r="A7" s="24" t="s">
        <v>378</v>
      </c>
      <c r="B7" s="25">
        <f>IFERROR(AVERAGE('Master Database'!V4:V13),"")</f>
        <v>-9.6702151392447894E-2</v>
      </c>
      <c r="C7" s="25">
        <f>IFERROR(MEDIAN('Master Database'!V4:V13),"")</f>
        <v>-0.10022226712467164</v>
      </c>
      <c r="D7" s="25">
        <f>IFERROR(AVERAGEIFS('Master Database'!V4:V13,'Master Database'!BY4:BY13,"Yes"),"")</f>
        <v>-9.6262136925919922E-2</v>
      </c>
      <c r="E7" s="25">
        <f>IFERROR(MEDIAN(IF('Master Database'!BY4:BY13="Yes",'Master Database'!V4:V13)),"")</f>
        <v>-0.10022226712467164</v>
      </c>
      <c r="F7" s="14"/>
    </row>
    <row r="8" spans="1:19" x14ac:dyDescent="0.3">
      <c r="A8" s="24" t="s">
        <v>379</v>
      </c>
      <c r="B8" s="25">
        <f>IFERROR(AVERAGE('Master Database'!W4:W13),"")</f>
        <v>-9.1463299179970481E-2</v>
      </c>
      <c r="C8" s="25">
        <f>IFERROR(MEDIAN('Master Database'!W4:W13),"")</f>
        <v>-0.13474347434743472</v>
      </c>
      <c r="D8" s="25">
        <f>IFERROR(AVERAGEIFS('Master Database'!W4:W13,'Master Database'!BY4:BY13,"Yes"),"")</f>
        <v>-5.9554122266494883E-2</v>
      </c>
      <c r="E8" s="25">
        <f>IFERROR(MEDIAN(IF('Master Database'!BY4:BY13="Yes",'Master Database'!W4:W13)),"")</f>
        <v>0</v>
      </c>
      <c r="F8" s="14"/>
    </row>
    <row r="9" spans="1:19" x14ac:dyDescent="0.3">
      <c r="A9" s="24" t="s">
        <v>380</v>
      </c>
      <c r="B9" s="25">
        <f>IFERROR(AVERAGE('Master Database'!X4:X13),"")</f>
        <v>-3.8086198470912498E-2</v>
      </c>
      <c r="C9" s="25">
        <f>IFERROR(MEDIAN('Master Database'!X4:X13),"")</f>
        <v>5.6179775280897903E-3</v>
      </c>
      <c r="D9" s="25">
        <f>IFERROR(AVERAGEIFS('Master Database'!X4:X13,'Master Database'!BY4:BY13,"Yes"),"")</f>
        <v>1.863009279417778E-2</v>
      </c>
      <c r="E9" s="25">
        <f>IFERROR(MEDIAN(IF('Master Database'!BY4:BY13="Yes",'Master Database'!X4:X13)),"")</f>
        <v>5.6179775280897903E-3</v>
      </c>
      <c r="F9" s="14"/>
    </row>
    <row r="10" spans="1:19" x14ac:dyDescent="0.3">
      <c r="A10" s="24" t="s">
        <v>381</v>
      </c>
      <c r="B10" s="25">
        <f>IFERROR(AVERAGE('Master Database'!Y4:Y13),"")</f>
        <v>1.5413428676348885E-2</v>
      </c>
      <c r="C10" s="25">
        <f>IFERROR(MEDIAN('Master Database'!Y4:Y13),"")</f>
        <v>3.0903370786516948E-2</v>
      </c>
      <c r="D10" s="25">
        <f>IFERROR(AVERAGEIFS('Master Database'!Y4:Y13,'Master Database'!BY4:BY13,"Yes"),"")</f>
        <v>9.4098038156022829E-2</v>
      </c>
      <c r="E10" s="25">
        <f>IFERROR(MEDIAN(IF('Master Database'!BY4:BY13="Yes",'Master Database'!Y4:Y13)),"")</f>
        <v>3.0903370786516948E-2</v>
      </c>
      <c r="F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x14ac:dyDescent="0.3">
      <c r="A11" s="24" t="s">
        <v>382</v>
      </c>
      <c r="B11" s="25">
        <f>IFERROR(AVERAGE('Master Database'!Z4:Z13),"")</f>
        <v>0.19254188479946857</v>
      </c>
      <c r="C11" s="25">
        <f>IFERROR(MEDIAN('Master Database'!Z4:Z13),"")</f>
        <v>2.8089887640449396E-2</v>
      </c>
      <c r="D11" s="25">
        <f>IFERROR(AVERAGEIFS('Master Database'!Z4:Z13,'Master Database'!BY4:BY13,"Yes"),"")</f>
        <v>0.27856658140162482</v>
      </c>
      <c r="E11" s="25">
        <f>IFERROR(MEDIAN(IF('Master Database'!BY4:BY13="Yes",'Master Database'!Z4:Z13)),"")</f>
        <v>2.8089887640449396E-2</v>
      </c>
      <c r="F11" s="14"/>
      <c r="H11" s="14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14"/>
    </row>
    <row r="12" spans="1:19" ht="18.600000000000001" customHeight="1" x14ac:dyDescent="0.3">
      <c r="A12" s="23" t="s">
        <v>383</v>
      </c>
      <c r="B12" s="18"/>
      <c r="C12" s="18"/>
      <c r="D12" s="18"/>
      <c r="E12" s="18"/>
      <c r="F12" s="14"/>
      <c r="H12" s="14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14"/>
    </row>
    <row r="13" spans="1:19" x14ac:dyDescent="0.3">
      <c r="A13" s="24" t="s">
        <v>384</v>
      </c>
      <c r="B13" s="25">
        <f>IFERROR(AVERAGE('Master Database'!AO4:AO13),"")</f>
        <v>-1.9421515246433478E-2</v>
      </c>
      <c r="C13" s="25">
        <f>IFERROR(MEDIAN('Master Database'!AO4:AO13),"")</f>
        <v>-8.3883176528334324E-3</v>
      </c>
      <c r="D13" s="25">
        <f>IFERROR(AVERAGEIFS('Master Database'!AO4:AO13,'Master Database'!BY4:BY13,"Yes"),"")</f>
        <v>-2.0454638340701214E-2</v>
      </c>
      <c r="E13" s="25">
        <f>IFERROR(MEDIAN(IF('Master Database'!BY4:BY13="Yes",'Master Database'!AO4:AO13)),"")</f>
        <v>-8.3883176528334324E-3</v>
      </c>
      <c r="F13" s="14"/>
      <c r="H13" s="14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14"/>
    </row>
    <row r="14" spans="1:19" x14ac:dyDescent="0.3">
      <c r="A14" s="24" t="s">
        <v>385</v>
      </c>
      <c r="B14" s="25">
        <f>IFERROR(AVERAGE('Master Database'!AP4:AP13),"")</f>
        <v>-9.0332132799779127E-2</v>
      </c>
      <c r="C14" s="25">
        <f>IFERROR(MEDIAN('Master Database'!AP4:AP13),"")</f>
        <v>-8.0580828765819845E-2</v>
      </c>
      <c r="D14" s="25">
        <f>IFERROR(AVERAGEIFS('Master Database'!AP4:AP13,'Master Database'!BY4:BY13,"Yes"),"")</f>
        <v>-9.0223637002968052E-2</v>
      </c>
      <c r="E14" s="25" t="str">
        <f>IFERROR(MEDIAN(IF('Master Database'!BY4:BY13="Yes",'Master Database'!AP4:AP13)),"")</f>
        <v/>
      </c>
      <c r="F14" s="14"/>
      <c r="H14" s="14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14"/>
    </row>
    <row r="15" spans="1:19" x14ac:dyDescent="0.3">
      <c r="A15" s="24" t="s">
        <v>386</v>
      </c>
      <c r="B15" s="25">
        <f>IFERROR(AVERAGE('Master Database'!AQ4:AQ13),"")</f>
        <v>-0.11146883860614396</v>
      </c>
      <c r="C15" s="25">
        <f>IFERROR(MEDIAN('Master Database'!AQ4:AQ13),"")</f>
        <v>-0.14060693100335087</v>
      </c>
      <c r="D15" s="25">
        <f>IFERROR(AVERAGEIFS('Master Database'!AQ4:AQ13,'Master Database'!BY4:BY13,"Yes"),"")</f>
        <v>-9.1584471160203587E-2</v>
      </c>
      <c r="E15" s="25" t="str">
        <f>IFERROR(MEDIAN(IF('Master Database'!BY4:BY13="Yes",'Master Database'!AQ4:AQ13)),"")</f>
        <v/>
      </c>
      <c r="F15" s="14"/>
      <c r="H15" s="14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14"/>
    </row>
    <row r="16" spans="1:19" x14ac:dyDescent="0.3">
      <c r="A16" s="24" t="s">
        <v>387</v>
      </c>
      <c r="B16" s="25">
        <f>IFERROR(AVERAGE('Master Database'!AR4:AR13),"")</f>
        <v>-0.11961768072446269</v>
      </c>
      <c r="C16" s="25">
        <f>IFERROR(MEDIAN('Master Database'!AR4:AR13),"")</f>
        <v>-0.13671362259555331</v>
      </c>
      <c r="D16" s="25">
        <f>IFERROR(AVERAGEIFS('Master Database'!AR4:AR13,'Master Database'!BY4:BY13,"Yes"),"")</f>
        <v>-7.5908436238342189E-2</v>
      </c>
      <c r="E16" s="25" t="str">
        <f>IFERROR(MEDIAN(IF('Master Database'!BY4:BY13="Yes",'Master Database'!AR4:AR13)),"")</f>
        <v/>
      </c>
      <c r="F16" s="14"/>
      <c r="H16" s="14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14"/>
    </row>
    <row r="17" spans="1:19" x14ac:dyDescent="0.3">
      <c r="A17" s="24" t="s">
        <v>388</v>
      </c>
      <c r="B17" s="25">
        <f>IFERROR(AVERAGE('Master Database'!AS4:AS13),"")</f>
        <v>-7.8205208130732479E-2</v>
      </c>
      <c r="C17" s="25">
        <f>IFERROR(MEDIAN('Master Database'!AS4:AS13),"")</f>
        <v>-0.14674295951309291</v>
      </c>
      <c r="D17" s="25">
        <f>IFERROR(AVERAGEIFS('Master Database'!AS4:AS13,'Master Database'!BY4:BY13,"Yes"),"")</f>
        <v>-2.5774755229212146E-2</v>
      </c>
      <c r="E17" s="25" t="str">
        <f>IFERROR(MEDIAN(IF('Master Database'!BY4:BY13="Yes",'Master Database'!AS4:AS13)),"")</f>
        <v/>
      </c>
      <c r="F17" s="14"/>
      <c r="H17" s="14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14"/>
    </row>
    <row r="18" spans="1:19" x14ac:dyDescent="0.3">
      <c r="A18" s="24" t="s">
        <v>389</v>
      </c>
      <c r="B18" s="25">
        <f>IFERROR(AVERAGE('Master Database'!AT4:AT13),"")</f>
        <v>7.8860104372073969E-2</v>
      </c>
      <c r="C18" s="25">
        <f>IFERROR(MEDIAN('Master Database'!AT4:AT13),"")</f>
        <v>-0.16429575856091239</v>
      </c>
      <c r="D18" s="25">
        <f>IFERROR(AVERAGEIFS('Master Database'!AT4:AT13,'Master Database'!BY4:BY13,"Yes"),"")</f>
        <v>0.14544021809767985</v>
      </c>
      <c r="E18" s="25" t="str">
        <f>IFERROR(MEDIAN(IF('Master Database'!BY4:BY13="Yes",'Master Database'!AT4:AT13)),"")</f>
        <v/>
      </c>
      <c r="F18" s="14"/>
      <c r="H18" s="14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14"/>
    </row>
    <row r="19" spans="1:19" ht="20.399999999999999" customHeight="1" x14ac:dyDescent="0.3">
      <c r="A19" s="22" t="s">
        <v>390</v>
      </c>
      <c r="B19" s="19"/>
      <c r="C19" s="19"/>
      <c r="D19" s="19"/>
      <c r="E19" s="19"/>
      <c r="F19" s="14"/>
      <c r="H19" s="14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14"/>
    </row>
    <row r="20" spans="1:19" x14ac:dyDescent="0.3">
      <c r="A20" s="24" t="s">
        <v>391</v>
      </c>
      <c r="B20" s="25">
        <f>IFERROR(AVERAGE('Master Database'!BI4:BI13),"")</f>
        <v>-7.4705981205391292E-3</v>
      </c>
      <c r="C20" s="25">
        <f>IFERROR(MEDIAN('Master Database'!BI4:BI13),"")</f>
        <v>-6.2427924072678276E-3</v>
      </c>
      <c r="D20" s="25">
        <f>IFERROR(AVERAGEIFS('Master Database'!BI4:BI13,'Master Database'!BY4:BY13,"Yes"),"")</f>
        <v>-9.8459942659675503E-3</v>
      </c>
      <c r="E20" s="25" t="str">
        <f>IFERROR(MEDIAN(IF('Master Database'!BY4:BY13="Yes",'Master Database'!BI4:BI13)),"")</f>
        <v/>
      </c>
      <c r="F20" s="14"/>
      <c r="H20" s="14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14"/>
    </row>
    <row r="21" spans="1:19" x14ac:dyDescent="0.3">
      <c r="A21" s="24" t="s">
        <v>392</v>
      </c>
      <c r="B21" s="25">
        <f>IFERROR(AVERAGE('Master Database'!BJ4:BJ13),"")</f>
        <v>-8.0555718478227067E-2</v>
      </c>
      <c r="C21" s="25">
        <f>IFERROR(MEDIAN('Master Database'!BJ4:BJ13),"")</f>
        <v>-8.5989898809896714E-2</v>
      </c>
      <c r="D21" s="25">
        <f>IFERROR(AVERAGEIFS('Master Database'!BJ4:BJ13,'Master Database'!BY4:BY13,"Yes"),"")</f>
        <v>-9.3940752176047512E-2</v>
      </c>
      <c r="E21" s="25" t="str">
        <f>IFERROR(MEDIAN(IF('Master Database'!BY4:BY13="Yes",'Master Database'!BJ4:BJ13)),"")</f>
        <v/>
      </c>
      <c r="F21" s="14"/>
      <c r="H21" s="14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14"/>
    </row>
    <row r="22" spans="1:19" x14ac:dyDescent="0.3">
      <c r="A22" s="24" t="s">
        <v>393</v>
      </c>
      <c r="B22" s="25">
        <f>IFERROR(AVERAGE('Master Database'!BK4:BK13),"")</f>
        <v>-0.16120276222730753</v>
      </c>
      <c r="C22" s="25">
        <f>IFERROR(MEDIAN('Master Database'!BK4:BK13),"")</f>
        <v>-0.19638701592881153</v>
      </c>
      <c r="D22" s="25">
        <f>IFERROR(AVERAGEIFS('Master Database'!BK4:BK13,'Master Database'!BY4:BY13,"Yes"),"")</f>
        <v>-0.17069821551146999</v>
      </c>
      <c r="E22" s="25" t="str">
        <f>IFERROR(MEDIAN(IF('Master Database'!BY4:BY13="Yes",'Master Database'!BK4:BK13)),"")</f>
        <v/>
      </c>
      <c r="F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x14ac:dyDescent="0.3">
      <c r="A23" s="24" t="s">
        <v>394</v>
      </c>
      <c r="B23" s="25">
        <f>IFERROR(AVERAGE('Master Database'!BL4:BL13),"")</f>
        <v>-0.23406988167049952</v>
      </c>
      <c r="C23" s="25">
        <f>IFERROR(MEDIAN('Master Database'!BL4:BL13),"")</f>
        <v>-0.27677430386699142</v>
      </c>
      <c r="D23" s="25">
        <f>IFERROR(AVERAGEIFS('Master Database'!BL4:BL13,'Master Database'!BY4:BY13,"Yes"),"")</f>
        <v>-0.2023199672438937</v>
      </c>
      <c r="E23" s="25" t="str">
        <f>IFERROR(MEDIAN(IF('Master Database'!BY4:BY13="Yes",'Master Database'!BL4:BL13)),"")</f>
        <v/>
      </c>
      <c r="F23" s="14"/>
    </row>
    <row r="24" spans="1:19" x14ac:dyDescent="0.3">
      <c r="A24" s="24" t="s">
        <v>395</v>
      </c>
      <c r="B24" s="25">
        <f>IFERROR(AVERAGE('Master Database'!BM4:BM13),"")</f>
        <v>-0.27109999223187509</v>
      </c>
      <c r="C24" s="25">
        <f>IFERROR(MEDIAN('Master Database'!BM4:BM13),"")</f>
        <v>-0.30777295582025072</v>
      </c>
      <c r="D24" s="25">
        <f>IFERROR(AVERAGEIFS('Master Database'!BM4:BM13,'Master Database'!BY4:BY13,"Yes"),"")</f>
        <v>-0.27055970096368503</v>
      </c>
      <c r="E24" s="25" t="str">
        <f>IFERROR(MEDIAN(IF('Master Database'!BY4:BY13="Yes",'Master Database'!BM4:BM13)),"")</f>
        <v/>
      </c>
      <c r="F24" s="14"/>
    </row>
    <row r="25" spans="1:19" x14ac:dyDescent="0.3">
      <c r="A25" s="24" t="s">
        <v>396</v>
      </c>
      <c r="B25" s="25">
        <f>IFERROR(AVERAGE('Master Database'!BN4:BN13),"")</f>
        <v>-0.31724860620743511</v>
      </c>
      <c r="C25" s="25">
        <f>IFERROR(MEDIAN('Master Database'!BN4:BN13),"")</f>
        <v>-0.39506054550537595</v>
      </c>
      <c r="D25" s="25">
        <f>IFERROR(AVERAGEIFS('Master Database'!BN4:BN13,'Master Database'!BY4:BY13,"Yes"),"")</f>
        <v>-0.31958289823382696</v>
      </c>
      <c r="E25" s="25" t="str">
        <f>IFERROR(MEDIAN(IF('Master Database'!BY4:BY13="Yes",'Master Database'!BN4:BN13)),"")</f>
        <v/>
      </c>
      <c r="F25" s="14"/>
    </row>
    <row r="26" spans="1:19" ht="19.8" customHeight="1" x14ac:dyDescent="0.3">
      <c r="A26" s="22" t="s">
        <v>397</v>
      </c>
      <c r="B26" s="19"/>
      <c r="C26" s="19"/>
      <c r="D26" s="19"/>
      <c r="E26" s="19"/>
      <c r="F26" s="14"/>
    </row>
    <row r="27" spans="1:19" x14ac:dyDescent="0.3">
      <c r="A27" s="24" t="s">
        <v>398</v>
      </c>
      <c r="B27" s="25">
        <f>IFERROR(AVERAGE('Master Database'!BQ4:BQ13),"")</f>
        <v>-0.32674161155217513</v>
      </c>
      <c r="C27" s="25">
        <f>IFERROR(MEDIAN('Master Database'!BQ4:BQ13),"")</f>
        <v>-0.20432043204320427</v>
      </c>
      <c r="D27" s="25">
        <f>IFERROR(AVERAGEIFS('Master Database'!BQ4:BQ13,'Master Database'!BY4:BY13,"Yes"),"")</f>
        <v>-0.28158209032495035</v>
      </c>
      <c r="E27" s="25" t="str">
        <f>IFERROR(MEDIAN(IF('Master Database'!BY4:BY13="Yes",'Master Database'!BQ4:BQ13)),"")</f>
        <v/>
      </c>
      <c r="F27" s="14"/>
    </row>
    <row r="28" spans="1:19" x14ac:dyDescent="0.3">
      <c r="A28" s="24" t="s">
        <v>399</v>
      </c>
      <c r="B28" s="26">
        <f>IFERROR(AVERAGE('Master Database'!BU4:BU13),"")</f>
        <v>69.666666666666671</v>
      </c>
      <c r="C28" s="26">
        <f>IFERROR(MEDIAN('Master Database'!BU4:BU13),"")</f>
        <v>30</v>
      </c>
      <c r="D28" s="26">
        <f>IFERROR(AVERAGEIFS('Master Database'!BU4:BU13,'Master Database'!BY4:BY13,"Yes"),"")</f>
        <v>69.666666666666671</v>
      </c>
      <c r="E28" s="26" t="str">
        <f>IFERROR(MEDIAN(IF('Master Database'!BY4:BY13="Yes",'Master Database'!BU4:BU13)),"")</f>
        <v/>
      </c>
      <c r="F28" s="14"/>
    </row>
    <row r="29" spans="1:19" x14ac:dyDescent="0.3">
      <c r="A29" s="24" t="s">
        <v>400</v>
      </c>
      <c r="B29" s="26">
        <f>IFERROR(AVERAGE('Master Database'!BT4:BT13),"")</f>
        <v>50.666666666666664</v>
      </c>
      <c r="C29" s="26">
        <f>IFERROR(MEDIAN('Master Database'!BT4:BT13),"")</f>
        <v>22</v>
      </c>
      <c r="D29" s="26">
        <f>IFERROR(AVERAGEIFS('Master Database'!BT4:BT13,'Master Database'!BY4:BY13,"Yes"),"")</f>
        <v>50.666666666666664</v>
      </c>
      <c r="E29" s="26" t="str">
        <f>IFERROR(MEDIAN(IF('Master Database'!BY4:BY13="Yes",'Master Database'!BT4:BT13)),"")</f>
        <v/>
      </c>
      <c r="F29" s="14"/>
    </row>
    <row r="30" spans="1:19" ht="20.399999999999999" customHeight="1" x14ac:dyDescent="0.3">
      <c r="A30" s="22" t="s">
        <v>401</v>
      </c>
      <c r="B30" s="19"/>
      <c r="C30" s="19"/>
      <c r="D30" s="19"/>
      <c r="E30" s="19"/>
      <c r="F30" s="14"/>
    </row>
    <row r="31" spans="1:19" x14ac:dyDescent="0.3">
      <c r="A31" s="24" t="s">
        <v>402</v>
      </c>
      <c r="B31" s="30">
        <f>IFERROR(COUNTIFS('Master Database'!BU4:BU13,"&gt;0",'Master Database'!BU4:BU13,"&lt;=31")/COUNT('Master Database'!BU4:BU13),"")</f>
        <v>0.66666666666666663</v>
      </c>
      <c r="C31" s="27"/>
      <c r="D31" s="27"/>
      <c r="E31" s="27"/>
      <c r="F31" s="14"/>
    </row>
    <row r="32" spans="1:19" x14ac:dyDescent="0.3">
      <c r="A32" s="24" t="s">
        <v>403</v>
      </c>
      <c r="B32" s="30">
        <f>IFERROR(COUNTIFS('Master Database'!BU4:BU13,"&gt;0",'Master Database'!BU4:BU13,"&lt;=123")/COUNT('Master Database'!BU4:BU13),"")</f>
        <v>0.66666666666666663</v>
      </c>
      <c r="C32" s="27"/>
      <c r="D32" s="27"/>
      <c r="E32" s="27"/>
      <c r="F32" s="14"/>
    </row>
    <row r="33" spans="1:5" x14ac:dyDescent="0.3">
      <c r="A33" s="24" t="s">
        <v>404</v>
      </c>
      <c r="B33" s="30">
        <f>IFERROR(COUNTIFS('Master Database'!BU4:BU13,"&gt;0",'Master Database'!BU4:BU13,"&lt;=183")/COUNT('Master Database'!BU4:BU13),"")</f>
        <v>1</v>
      </c>
      <c r="C33" s="27"/>
      <c r="D33" s="32"/>
      <c r="E33" s="32"/>
    </row>
    <row r="34" spans="1:5" x14ac:dyDescent="0.3">
      <c r="A34" s="24" t="s">
        <v>405</v>
      </c>
      <c r="B34" s="30">
        <f>IFERROR(COUNTIFS('Master Database'!BU4:BU13,"&gt;0",'Master Database'!BU4:BU13,"&lt;=245")/COUNT('Master Database'!BU4:BU13),"")</f>
        <v>1</v>
      </c>
      <c r="C34" s="27"/>
      <c r="D34" s="32"/>
      <c r="E34" s="32"/>
    </row>
    <row r="35" spans="1:5" x14ac:dyDescent="0.3">
      <c r="A35" s="24" t="s">
        <v>406</v>
      </c>
      <c r="B35" s="30">
        <f>IFERROR(COUNTIF('Master Database'!BV4:BV13,"Yes")/(COUNTIF('Master Database'!BV4:BV13,"Yes")+COUNTIF('Master Database'!BV4:BV13,"No")),"")</f>
        <v>0</v>
      </c>
      <c r="C35" s="27"/>
      <c r="D35" s="32"/>
      <c r="E35" s="32"/>
    </row>
    <row r="36" spans="1:5" x14ac:dyDescent="0.3">
      <c r="A36" s="24" t="s">
        <v>407</v>
      </c>
      <c r="B36" s="30">
        <f>IFERROR(COUNTIF('Master Database'!BV4:BV13,"No")/(COUNTIF('Master Database'!BV4:BV13,"Yes")+COUNTIF('Master Database'!BV4:BV13,"No")),"")</f>
        <v>1</v>
      </c>
      <c r="C36" s="27"/>
      <c r="D36" s="32"/>
      <c r="E36" s="32"/>
    </row>
    <row r="37" spans="1:5" ht="21" customHeight="1" x14ac:dyDescent="0.3">
      <c r="A37" s="22" t="s">
        <v>408</v>
      </c>
      <c r="B37" s="19"/>
      <c r="C37" s="31"/>
      <c r="D37" s="19"/>
      <c r="E37" s="19"/>
    </row>
    <row r="38" spans="1:5" x14ac:dyDescent="0.3">
      <c r="A38" s="28" t="s">
        <v>25</v>
      </c>
      <c r="B38" s="29">
        <f>IFERROR(AVERAGEIFS('Master Database'!AT4:AT13,'Master Database'!H4:H13,"Integrated oil"),"n/a")</f>
        <v>-0.24451539739053385</v>
      </c>
      <c r="C38" s="14"/>
    </row>
    <row r="39" spans="1:5" x14ac:dyDescent="0.3">
      <c r="A39" s="28" t="s">
        <v>61</v>
      </c>
      <c r="B39" s="29">
        <f>IFERROR(AVERAGEIFS('Master Database'!AT4:AT13,'Master Database'!H4:H13,"Offshore drilling contractor"),"n/a")</f>
        <v>-0.28645080337015327</v>
      </c>
      <c r="C39" s="14"/>
    </row>
    <row r="40" spans="1:5" x14ac:dyDescent="0.3">
      <c r="A40" s="28" t="s">
        <v>78</v>
      </c>
      <c r="B40" s="29">
        <f>IFERROR(AVERAGEIFS('Master Database'!AT4:AT13,'Master Database'!H4:H13,"Pipeline"),"n/a")</f>
        <v>6.4279364919878956E-2</v>
      </c>
      <c r="C40" s="14"/>
    </row>
    <row r="41" spans="1:5" x14ac:dyDescent="0.3">
      <c r="A41" s="28" t="s">
        <v>93</v>
      </c>
      <c r="B41" s="29">
        <f>IFERROR(AVERAGEIFS('Master Database'!AT4:AT13,'Master Database'!H4:H13,"Pipeline (MLP)"),"n/a")</f>
        <v>-0.45378080543277299</v>
      </c>
      <c r="C41" s="14"/>
    </row>
    <row r="42" spans="1:5" x14ac:dyDescent="0.3">
      <c r="A42" s="28" t="s">
        <v>110</v>
      </c>
      <c r="B42" s="29">
        <f>IFERROR(AVERAGEIFS('Master Database'!AT4:AT13,'Master Database'!H4:H13,"Marine / shipbuilding (at-fault party)"),"n/a")</f>
        <v>-1.482470227783006E-2</v>
      </c>
      <c r="C42" s="14"/>
    </row>
    <row r="43" spans="1:5" x14ac:dyDescent="0.3">
      <c r="A43" s="28" t="s">
        <v>126</v>
      </c>
      <c r="B43" s="29">
        <f>IFERROR(AVERAGEIFS('Master Database'!AT4:AT13,'Master Database'!H4:H13,"Tanker / shipping (charterer-operator)"),"n/a")</f>
        <v>2.3964201624630888</v>
      </c>
      <c r="C43" s="14"/>
    </row>
    <row r="44" spans="1:5" x14ac:dyDescent="0.3">
      <c r="A44" s="28" t="s">
        <v>141</v>
      </c>
      <c r="B44" s="29">
        <f>IFERROR(AVERAGEIFS('Master Database'!AT4:AT13,'Master Database'!H4:H13,"Mining (petroleum-product spill analogue)"),"n/a")</f>
        <v>-0.16429575856091239</v>
      </c>
      <c r="C44" s="14"/>
    </row>
    <row r="45" spans="1:5" x14ac:dyDescent="0.3">
      <c r="A45" s="28" t="s">
        <v>156</v>
      </c>
      <c r="B45" s="29">
        <f>IFERROR(AVERAGEIFS('Master Database'!AT4:AT13,'Master Database'!H4:H13,"Exploration &amp; production"),"n/a")</f>
        <v>-0.34257572361156563</v>
      </c>
      <c r="C45" s="14"/>
    </row>
    <row r="46" spans="1:5" x14ac:dyDescent="0.3">
      <c r="A46" s="28" t="s">
        <v>171</v>
      </c>
      <c r="B46" s="29" t="str">
        <f>IFERROR(AVERAGEIFS('Master Database'!AT4:AT13,'Master Database'!H4:H13,"E&amp;P (non-operating working-interest partner, 25%)"),"n/a")</f>
        <v>n/a</v>
      </c>
      <c r="C46" s="14"/>
    </row>
    <row r="47" spans="1:5" x14ac:dyDescent="0.3">
      <c r="A47" s="49" t="s">
        <v>409</v>
      </c>
      <c r="B47" s="49"/>
      <c r="C47" s="14"/>
    </row>
    <row r="48" spans="1:5" x14ac:dyDescent="0.3">
      <c r="A48" s="49"/>
      <c r="B48" s="49"/>
      <c r="C48" s="14"/>
    </row>
    <row r="49" spans="1:3" x14ac:dyDescent="0.3">
      <c r="A49" s="14"/>
      <c r="B49" s="14"/>
      <c r="C49" s="14"/>
    </row>
    <row r="50" spans="1:3" x14ac:dyDescent="0.3">
      <c r="A50" s="14"/>
      <c r="B50" s="14"/>
      <c r="C50" s="14"/>
    </row>
  </sheetData>
  <mergeCells count="3">
    <mergeCell ref="A2:E2"/>
    <mergeCell ref="A3:E3"/>
    <mergeCell ref="A47:B4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6"/>
  <sheetViews>
    <sheetView showGridLines="0" zoomScaleNormal="100" workbookViewId="0">
      <pane xSplit="4" ySplit="4" topLeftCell="E5" activePane="bottomRight" state="frozen"/>
      <selection pane="topRight" activeCell="D1" sqref="D1"/>
      <selection pane="bottomLeft" activeCell="A5" sqref="A5"/>
      <selection pane="bottomRight" activeCell="P6" sqref="P6"/>
    </sheetView>
  </sheetViews>
  <sheetFormatPr defaultColWidth="8.6640625" defaultRowHeight="14.4" x14ac:dyDescent="0.3"/>
  <cols>
    <col min="2" max="2" width="9" customWidth="1"/>
    <col min="3" max="3" width="20" customWidth="1"/>
    <col min="4" max="4" width="30" customWidth="1"/>
    <col min="5" max="10" width="11" customWidth="1"/>
    <col min="11" max="11" width="14" customWidth="1"/>
    <col min="12" max="12" width="30" customWidth="1"/>
  </cols>
  <sheetData>
    <row r="1" spans="1:13" ht="73.8" customHeight="1" x14ac:dyDescent="0.55000000000000004">
      <c r="A1" s="14"/>
      <c r="B1" s="69"/>
      <c r="C1" s="69"/>
      <c r="D1" s="69"/>
      <c r="E1" s="68" t="s">
        <v>410</v>
      </c>
      <c r="F1" s="68"/>
      <c r="G1" s="68"/>
      <c r="H1" s="68"/>
      <c r="I1" s="68"/>
      <c r="J1" s="68"/>
      <c r="K1" s="68"/>
      <c r="L1" s="68"/>
      <c r="M1" s="68"/>
    </row>
    <row r="2" spans="1:13" ht="14.4" customHeight="1" x14ac:dyDescent="0.55000000000000004">
      <c r="A2" s="14"/>
      <c r="B2" s="71"/>
      <c r="C2" s="71"/>
      <c r="D2" s="71"/>
      <c r="E2" s="72"/>
      <c r="F2" s="72"/>
      <c r="G2" s="72"/>
      <c r="H2" s="72"/>
      <c r="I2" s="72"/>
      <c r="J2" s="72"/>
      <c r="K2" s="72"/>
      <c r="L2" s="72"/>
      <c r="M2" s="70"/>
    </row>
    <row r="3" spans="1:13" ht="42" customHeight="1" x14ac:dyDescent="0.3">
      <c r="A3" s="14"/>
      <c r="B3" s="73" t="s">
        <v>411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14"/>
    </row>
    <row r="4" spans="1:13" ht="30" customHeight="1" x14ac:dyDescent="0.3">
      <c r="A4" s="14"/>
      <c r="B4" s="50" t="s">
        <v>0</v>
      </c>
      <c r="C4" s="50" t="s">
        <v>412</v>
      </c>
      <c r="D4" s="50" t="s">
        <v>413</v>
      </c>
      <c r="E4" s="50" t="s">
        <v>414</v>
      </c>
      <c r="F4" s="50" t="s">
        <v>415</v>
      </c>
      <c r="G4" s="50" t="s">
        <v>416</v>
      </c>
      <c r="H4" s="50" t="s">
        <v>417</v>
      </c>
      <c r="I4" s="50" t="s">
        <v>418</v>
      </c>
      <c r="J4" s="50" t="s">
        <v>419</v>
      </c>
      <c r="K4" s="50" t="s">
        <v>420</v>
      </c>
      <c r="L4" s="50" t="s">
        <v>421</v>
      </c>
      <c r="M4" s="14"/>
    </row>
    <row r="5" spans="1:13" ht="42" customHeight="1" x14ac:dyDescent="0.35">
      <c r="A5" s="14"/>
      <c r="B5" s="65" t="s">
        <v>22</v>
      </c>
      <c r="C5" s="53" t="s">
        <v>24</v>
      </c>
      <c r="D5" s="53" t="s">
        <v>422</v>
      </c>
      <c r="E5" s="66"/>
      <c r="F5" s="66"/>
      <c r="G5" s="66"/>
      <c r="H5" s="66"/>
      <c r="I5" s="66"/>
      <c r="J5" s="66"/>
      <c r="K5" s="54" t="s">
        <v>36</v>
      </c>
      <c r="L5" s="67" t="s">
        <v>423</v>
      </c>
      <c r="M5" s="14"/>
    </row>
    <row r="6" spans="1:13" ht="42" customHeight="1" x14ac:dyDescent="0.35">
      <c r="A6" s="14"/>
      <c r="B6" s="65" t="s">
        <v>40</v>
      </c>
      <c r="C6" s="53" t="s">
        <v>42</v>
      </c>
      <c r="D6" s="53" t="s">
        <v>424</v>
      </c>
      <c r="E6" s="66"/>
      <c r="F6" s="66"/>
      <c r="G6" s="66"/>
      <c r="H6" s="66"/>
      <c r="I6" s="66"/>
      <c r="J6" s="66"/>
      <c r="K6" s="54" t="s">
        <v>54</v>
      </c>
      <c r="L6" s="67" t="s">
        <v>423</v>
      </c>
      <c r="M6" s="14"/>
    </row>
    <row r="7" spans="1:13" ht="42" customHeight="1" x14ac:dyDescent="0.35">
      <c r="A7" s="14"/>
      <c r="B7" s="65" t="s">
        <v>58</v>
      </c>
      <c r="C7" s="53" t="s">
        <v>60</v>
      </c>
      <c r="D7" s="53" t="s">
        <v>425</v>
      </c>
      <c r="E7" s="66"/>
      <c r="F7" s="66"/>
      <c r="G7" s="66"/>
      <c r="H7" s="66"/>
      <c r="I7" s="66"/>
      <c r="J7" s="66"/>
      <c r="K7" s="54" t="s">
        <v>71</v>
      </c>
      <c r="L7" s="67" t="s">
        <v>423</v>
      </c>
      <c r="M7" s="14"/>
    </row>
    <row r="8" spans="1:13" ht="42" customHeight="1" x14ac:dyDescent="0.35">
      <c r="A8" s="14"/>
      <c r="B8" s="65" t="s">
        <v>75</v>
      </c>
      <c r="C8" s="53" t="s">
        <v>77</v>
      </c>
      <c r="D8" s="53" t="s">
        <v>426</v>
      </c>
      <c r="E8" s="66"/>
      <c r="F8" s="66"/>
      <c r="G8" s="66"/>
      <c r="H8" s="66"/>
      <c r="I8" s="66"/>
      <c r="J8" s="66"/>
      <c r="K8" s="54" t="s">
        <v>54</v>
      </c>
      <c r="L8" s="67" t="s">
        <v>423</v>
      </c>
      <c r="M8" s="14"/>
    </row>
    <row r="9" spans="1:13" ht="42" customHeight="1" x14ac:dyDescent="0.35">
      <c r="A9" s="14"/>
      <c r="B9" s="65" t="s">
        <v>90</v>
      </c>
      <c r="C9" s="53" t="s">
        <v>92</v>
      </c>
      <c r="D9" s="53" t="s">
        <v>427</v>
      </c>
      <c r="E9" s="66"/>
      <c r="F9" s="66"/>
      <c r="G9" s="66"/>
      <c r="H9" s="66"/>
      <c r="I9" s="66"/>
      <c r="J9" s="66"/>
      <c r="K9" s="54" t="s">
        <v>103</v>
      </c>
      <c r="L9" s="67" t="s">
        <v>423</v>
      </c>
      <c r="M9" s="14"/>
    </row>
    <row r="10" spans="1:13" ht="42" customHeight="1" x14ac:dyDescent="0.35">
      <c r="A10" s="14"/>
      <c r="B10" s="65" t="s">
        <v>107</v>
      </c>
      <c r="C10" s="53" t="s">
        <v>109</v>
      </c>
      <c r="D10" s="53" t="s">
        <v>428</v>
      </c>
      <c r="E10" s="66"/>
      <c r="F10" s="66"/>
      <c r="G10" s="66"/>
      <c r="H10" s="66"/>
      <c r="I10" s="66"/>
      <c r="J10" s="66"/>
      <c r="K10" s="54" t="s">
        <v>119</v>
      </c>
      <c r="L10" s="67" t="s">
        <v>423</v>
      </c>
      <c r="M10" s="14"/>
    </row>
    <row r="11" spans="1:13" ht="42" customHeight="1" x14ac:dyDescent="0.35">
      <c r="A11" s="14"/>
      <c r="B11" s="65" t="s">
        <v>123</v>
      </c>
      <c r="C11" s="53" t="s">
        <v>125</v>
      </c>
      <c r="D11" s="53" t="s">
        <v>429</v>
      </c>
      <c r="E11" s="66"/>
      <c r="F11" s="66"/>
      <c r="G11" s="66"/>
      <c r="H11" s="66"/>
      <c r="I11" s="66"/>
      <c r="J11" s="66"/>
      <c r="K11" s="54" t="s">
        <v>119</v>
      </c>
      <c r="L11" s="67" t="s">
        <v>423</v>
      </c>
      <c r="M11" s="14"/>
    </row>
    <row r="12" spans="1:13" ht="42" customHeight="1" x14ac:dyDescent="0.35">
      <c r="A12" s="14"/>
      <c r="B12" s="65" t="s">
        <v>138</v>
      </c>
      <c r="C12" s="53" t="s">
        <v>140</v>
      </c>
      <c r="D12" s="53" t="s">
        <v>430</v>
      </c>
      <c r="E12" s="66"/>
      <c r="F12" s="66"/>
      <c r="G12" s="66"/>
      <c r="H12" s="66"/>
      <c r="I12" s="66"/>
      <c r="J12" s="66"/>
      <c r="K12" s="54" t="s">
        <v>119</v>
      </c>
      <c r="L12" s="67" t="s">
        <v>423</v>
      </c>
      <c r="M12" s="14"/>
    </row>
    <row r="13" spans="1:13" ht="42" customHeight="1" x14ac:dyDescent="0.35">
      <c r="A13" s="14"/>
      <c r="B13" s="65" t="s">
        <v>153</v>
      </c>
      <c r="C13" s="53" t="s">
        <v>155</v>
      </c>
      <c r="D13" s="53" t="s">
        <v>431</v>
      </c>
      <c r="E13" s="66"/>
      <c r="F13" s="66"/>
      <c r="G13" s="66"/>
      <c r="H13" s="66"/>
      <c r="I13" s="66"/>
      <c r="J13" s="66"/>
      <c r="K13" s="54" t="s">
        <v>119</v>
      </c>
      <c r="L13" s="67" t="s">
        <v>423</v>
      </c>
      <c r="M13" s="14"/>
    </row>
    <row r="14" spans="1:13" ht="42" customHeight="1" x14ac:dyDescent="0.35">
      <c r="A14" s="14"/>
      <c r="B14" s="65" t="s">
        <v>168</v>
      </c>
      <c r="C14" s="53" t="s">
        <v>170</v>
      </c>
      <c r="D14" s="53" t="s">
        <v>432</v>
      </c>
      <c r="E14" s="66"/>
      <c r="F14" s="66"/>
      <c r="G14" s="66"/>
      <c r="H14" s="66"/>
      <c r="I14" s="66"/>
      <c r="J14" s="66"/>
      <c r="K14" s="54" t="s">
        <v>179</v>
      </c>
      <c r="L14" s="67" t="s">
        <v>423</v>
      </c>
      <c r="M14" s="14"/>
    </row>
    <row r="15" spans="1:13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</sheetData>
  <mergeCells count="3">
    <mergeCell ref="B3:L3"/>
    <mergeCell ref="B1:D1"/>
    <mergeCell ref="E1:M1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f94ae9-501f-43b3-b62b-d78a5e33d2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A435B058C764E9A89B82744AF5286" ma:contentTypeVersion="15" ma:contentTypeDescription="Create a new document." ma:contentTypeScope="" ma:versionID="dc9d904f4f14fba393c50fc73940f938">
  <xsd:schema xmlns:xsd="http://www.w3.org/2001/XMLSchema" xmlns:xs="http://www.w3.org/2001/XMLSchema" xmlns:p="http://schemas.microsoft.com/office/2006/metadata/properties" xmlns:ns3="44f94ae9-501f-43b3-b62b-d78a5e33d2d9" xmlns:ns4="deaee3fc-21cd-49b9-a3e3-0dac5e91b80c" targetNamespace="http://schemas.microsoft.com/office/2006/metadata/properties" ma:root="true" ma:fieldsID="63704dc8975fdddb8227214a55ca9ccd" ns3:_="" ns4:_="">
    <xsd:import namespace="44f94ae9-501f-43b3-b62b-d78a5e33d2d9"/>
    <xsd:import namespace="deaee3fc-21cd-49b9-a3e3-0dac5e91b80c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94ae9-501f-43b3-b62b-d78a5e33d2d9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ee3fc-21cd-49b9-a3e3-0dac5e91b80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476AC0-9748-4310-A182-5210E6335D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D73C26-D48F-4D8F-B6BB-D7FD47C82C95}">
  <ds:schemaRefs>
    <ds:schemaRef ds:uri="deaee3fc-21cd-49b9-a3e3-0dac5e91b80c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44f94ae9-501f-43b3-b62b-d78a5e33d2d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46CB673-E232-4B7D-B2DD-FEACF0DE6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f94ae9-501f-43b3-b62b-d78a5e33d2d9"/>
    <ds:schemaRef ds:uri="deaee3fc-21cd-49b9-a3e3-0dac5e91b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Event Catalog</vt:lpstr>
      <vt:lpstr>Master Database</vt:lpstr>
      <vt:lpstr>Data Collection Protocol</vt:lpstr>
      <vt:lpstr>Aggregate Analysis</vt:lpstr>
      <vt:lpstr>Peer  Contagion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Matthew Livingstone</cp:lastModifiedBy>
  <cp:revision>0</cp:revision>
  <dcterms:created xsi:type="dcterms:W3CDTF">2026-06-17T21:06:23Z</dcterms:created>
  <dcterms:modified xsi:type="dcterms:W3CDTF">2026-07-12T06:49:27Z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0x010100CDEA435B058C764E9A89B82744AF5286</vt:lpwstr>
  </property>
</Properties>
</file>