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atthew\Downloads\"/>
    </mc:Choice>
  </mc:AlternateContent>
  <xr:revisionPtr revIDLastSave="0" documentId="8_{4568B987-E220-469F-B565-3E567E808FEE}" xr6:coauthVersionLast="47" xr6:coauthVersionMax="47" xr10:uidLastSave="{00000000-0000-0000-0000-000000000000}"/>
  <bookViews>
    <workbookView xWindow="-108" yWindow="-108" windowWidth="41496" windowHeight="16776" tabRatio="500" xr2:uid="{00000000-000D-0000-FFFF-FFFF00000000}"/>
  </bookViews>
  <sheets>
    <sheet name="Deal Inputs" sheetId="1" r:id="rId1"/>
    <sheet name="Transaction Model" sheetId="2" r:id="rId2"/>
    <sheet name="Dashboard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44" i="3" l="1"/>
  <c r="C13" i="3"/>
  <c r="C12" i="3"/>
  <c r="C11" i="3"/>
  <c r="C6" i="3"/>
  <c r="C86" i="2"/>
  <c r="C85" i="2"/>
  <c r="C81" i="2"/>
  <c r="C74" i="2"/>
  <c r="C73" i="2"/>
  <c r="C60" i="2"/>
  <c r="C55" i="2"/>
  <c r="C56" i="2" s="1"/>
  <c r="E47" i="2"/>
  <c r="G43" i="2"/>
  <c r="F43" i="2"/>
  <c r="E43" i="2"/>
  <c r="G42" i="2"/>
  <c r="F42" i="2"/>
  <c r="E42" i="2"/>
  <c r="G38" i="2"/>
  <c r="F38" i="2"/>
  <c r="E38" i="2"/>
  <c r="C34" i="2"/>
  <c r="C35" i="2" s="1"/>
  <c r="C33" i="2"/>
  <c r="C16" i="2"/>
  <c r="C14" i="2"/>
  <c r="C9" i="2"/>
  <c r="C10" i="2" s="1"/>
  <c r="C7" i="2"/>
  <c r="C8" i="2" s="1"/>
  <c r="C6" i="2"/>
  <c r="C5" i="2"/>
  <c r="C31" i="1"/>
  <c r="D31" i="1" s="1"/>
  <c r="C36" i="2" l="1"/>
  <c r="C61" i="2" s="1"/>
  <c r="C5" i="3"/>
  <c r="C15" i="2"/>
  <c r="C28" i="2"/>
  <c r="C11" i="2"/>
  <c r="C12" i="2"/>
  <c r="F26" i="3"/>
  <c r="C26" i="3"/>
  <c r="G23" i="3"/>
  <c r="C23" i="3"/>
  <c r="G27" i="3"/>
  <c r="F27" i="3"/>
  <c r="C27" i="3"/>
  <c r="E26" i="3"/>
  <c r="D24" i="3"/>
  <c r="E23" i="3"/>
  <c r="G25" i="3"/>
  <c r="D26" i="3"/>
  <c r="E25" i="3"/>
  <c r="D25" i="3"/>
  <c r="C25" i="3"/>
  <c r="G24" i="3"/>
  <c r="F24" i="3"/>
  <c r="C24" i="3"/>
  <c r="D23" i="3"/>
  <c r="E39" i="3"/>
  <c r="D39" i="3"/>
  <c r="C39" i="3"/>
  <c r="D27" i="3"/>
  <c r="C50" i="2"/>
  <c r="G26" i="3"/>
  <c r="F25" i="3"/>
  <c r="E24" i="3"/>
  <c r="F23" i="3"/>
  <c r="E27" i="3"/>
  <c r="C37" i="2" l="1"/>
  <c r="C68" i="2"/>
  <c r="F9" i="3" s="1"/>
  <c r="E39" i="2"/>
  <c r="F39" i="2"/>
  <c r="G39" i="2"/>
  <c r="C20" i="2"/>
  <c r="C22" i="2"/>
  <c r="C23" i="2"/>
  <c r="C24" i="2"/>
  <c r="C27" i="2" s="1"/>
  <c r="C26" i="2"/>
  <c r="C7" i="3"/>
  <c r="C87" i="2"/>
  <c r="C17" i="2"/>
  <c r="E40" i="2" l="1"/>
  <c r="C41" i="3"/>
  <c r="F40" i="2"/>
  <c r="D41" i="3"/>
  <c r="G40" i="2"/>
  <c r="E41" i="3"/>
  <c r="C10" i="3"/>
  <c r="C72" i="2"/>
  <c r="C75" i="2" s="1"/>
  <c r="C31" i="2"/>
  <c r="C58" i="2"/>
  <c r="C25" i="2"/>
  <c r="C82" i="2" s="1"/>
  <c r="C57" i="2"/>
  <c r="C14" i="3"/>
  <c r="C45" i="3"/>
  <c r="C30" i="2"/>
  <c r="C46" i="3"/>
  <c r="C18" i="2"/>
  <c r="C19" i="2"/>
  <c r="C9" i="3" s="1"/>
  <c r="C8" i="3"/>
  <c r="C59" i="2" l="1"/>
  <c r="E76" i="2"/>
  <c r="E77" i="2" s="1"/>
  <c r="E44" i="2"/>
  <c r="F44" i="2"/>
  <c r="F76" i="2"/>
  <c r="F77" i="2" s="1"/>
  <c r="G44" i="2"/>
  <c r="G76" i="2"/>
  <c r="G33" i="3"/>
  <c r="D33" i="3"/>
  <c r="F31" i="3"/>
  <c r="C32" i="3"/>
  <c r="G30" i="3"/>
  <c r="D30" i="3"/>
  <c r="F34" i="3"/>
  <c r="F33" i="3"/>
  <c r="C33" i="3"/>
  <c r="D32" i="3"/>
  <c r="D31" i="3"/>
  <c r="E31" i="3"/>
  <c r="C31" i="3"/>
  <c r="E30" i="3"/>
  <c r="C30" i="3"/>
  <c r="E34" i="3"/>
  <c r="G34" i="3"/>
  <c r="G32" i="3"/>
  <c r="G31" i="3"/>
  <c r="D34" i="3"/>
  <c r="C34" i="3"/>
  <c r="F32" i="3"/>
  <c r="E33" i="3"/>
  <c r="E32" i="3"/>
  <c r="F30" i="3"/>
  <c r="E46" i="2"/>
  <c r="F46" i="2"/>
  <c r="G46" i="2"/>
  <c r="E45" i="2"/>
  <c r="F45" i="2"/>
  <c r="G45" i="2"/>
  <c r="C66" i="2"/>
  <c r="C29" i="2"/>
  <c r="C15" i="3"/>
  <c r="C84" i="2"/>
  <c r="C63" i="2" l="1"/>
  <c r="F12" i="3" s="1"/>
  <c r="C62" i="2"/>
  <c r="E48" i="2"/>
  <c r="E51" i="2" s="1"/>
  <c r="F11" i="3"/>
  <c r="C65" i="2"/>
  <c r="C67" i="2" s="1"/>
  <c r="C88" i="2"/>
  <c r="C89" i="2" s="1"/>
  <c r="C83" i="2"/>
  <c r="F48" i="2"/>
  <c r="F51" i="2" s="1"/>
  <c r="G48" i="2"/>
  <c r="G51" i="2" s="1"/>
  <c r="G77" i="2"/>
  <c r="C78" i="2"/>
  <c r="F13" i="3" s="1"/>
  <c r="F14" i="3" l="1"/>
  <c r="C40" i="3"/>
  <c r="E53" i="2"/>
  <c r="F5" i="3" s="1"/>
  <c r="E52" i="2"/>
  <c r="C69" i="2"/>
  <c r="F10" i="3" s="1"/>
  <c r="F8" i="3"/>
  <c r="C70" i="2"/>
  <c r="F52" i="2"/>
  <c r="F53" i="2"/>
  <c r="B17" i="3" s="1"/>
  <c r="D40" i="3"/>
  <c r="G52" i="2"/>
  <c r="G53" i="2"/>
  <c r="F7" i="3" s="1"/>
  <c r="E40" i="3"/>
  <c r="F6" i="3" l="1"/>
</calcChain>
</file>

<file path=xl/sharedStrings.xml><?xml version="1.0" encoding="utf-8"?>
<sst xmlns="http://schemas.openxmlformats.org/spreadsheetml/2006/main" count="206" uniqueCount="175">
  <si>
    <t>M&amp;A DEAL IMPACT AND ACCRETION / DILUTION MODEL</t>
  </si>
  <si>
    <t>ACQUIRER ASSUMPTIONS</t>
  </si>
  <si>
    <t>Company Name</t>
  </si>
  <si>
    <t>Northstar Industries</t>
  </si>
  <si>
    <t>Share Price ($)</t>
  </si>
  <si>
    <t>Shares Outstanding (mm)</t>
  </si>
  <si>
    <t>Revenue ($mm)</t>
  </si>
  <si>
    <t>EBITDA ($mm)</t>
  </si>
  <si>
    <t>EBIT ($mm)</t>
  </si>
  <si>
    <t>Net Income ($mm)</t>
  </si>
  <si>
    <t>Cash &amp; Equivalents ($mm)</t>
  </si>
  <si>
    <t>Total Debt ($mm)</t>
  </si>
  <si>
    <t>Interest Income Yield on Cash (%)</t>
  </si>
  <si>
    <t>Yield foregone on balance-sheet cash used in the deal</t>
  </si>
  <si>
    <t>Corporate Tax Rate (%)</t>
  </si>
  <si>
    <t>Marginal rate applied to all pro forma adjustments</t>
  </si>
  <si>
    <t>TARGET ASSUMPTIONS</t>
  </si>
  <si>
    <t>Meridian Technologies</t>
  </si>
  <si>
    <t>Share Price ($, unaffected)</t>
  </si>
  <si>
    <t>Assumed by acquirer; remains outstanding (no refinancing)</t>
  </si>
  <si>
    <t>Reference only — acquirer rate is used pro forma</t>
  </si>
  <si>
    <t>TRANSACTION ASSUMPTIONS</t>
  </si>
  <si>
    <t>Purchase Premium (%)</t>
  </si>
  <si>
    <t>% Financed with Cash</t>
  </si>
  <si>
    <t>% Financed with New Debt</t>
  </si>
  <si>
    <t>% Financed with New Shares</t>
  </si>
  <si>
    <t>Financing Mix Total (must = 100%)</t>
  </si>
  <si>
    <t>Interest Rate on New Debt (%)</t>
  </si>
  <si>
    <t>Annual Cost Synergies, Run-Rate ($mm, pre-tax)</t>
  </si>
  <si>
    <t>Annual Revenue Synergies, Run-Rate ($mm)</t>
  </si>
  <si>
    <t>EBITDA Margin on Revenue Synergies (%)</t>
  </si>
  <si>
    <t>One-Time Integration Costs ($mm, pre-tax)</t>
  </si>
  <si>
    <t>Pre-tax; expensed in Year 1</t>
  </si>
  <si>
    <t>Transaction Fees ($mm, pre-tax)</t>
  </si>
  <si>
    <t>Pre-tax; expensed in Year 1; paid from balance-sheet cash</t>
  </si>
  <si>
    <t>Synergy Realization — Year 1 (%)</t>
  </si>
  <si>
    <t>Synergy Realization — Year 2 (%)</t>
  </si>
  <si>
    <t>Synergy Realization — Year 3 (%)</t>
  </si>
  <si>
    <t>MODEL GUIDE, KEY CONVENTIONS AND LIMITATIONS</t>
  </si>
  <si>
    <t>WHAT THIS MODEL DOES:  Evaluates a hypothetical acquisition — purchase price, financing mix, pro forma earnings, EPS accretion/(dilution)</t>
  </si>
  <si>
    <t>over three years, leverage, break-even synergies and synergy payback. All calculations flow: Deal Inputs → Transaction Model → Dashboard.</t>
  </si>
  <si>
    <t>WHAT TO CHANGE:  Edit blue cells on this sheet only (yellow cells are the main levers). Every other cell in the workbook is formula-driven</t>
  </si>
  <si>
    <t>and updates automatically. Cash + debt + stock financing must sum to 100% (see check in row 36).</t>
  </si>
  <si>
    <t>KEY OUTPUTS:  EPS accretion/(dilution) = pro forma EPS ÷ acquirer standalone EPS − 1. Accretion (positive) means the deal increases the</t>
  </si>
  <si>
    <t>acquirer's EPS; dilution (negative) means it reduces EPS. Break-even synergies = the run-rate pre-tax synergies at which pro forma EPS</t>
  </si>
  <si>
    <t>exactly equals standalone EPS (steady-state, excluding one-time costs). A negative break-even means the deal is accretive with no synergies.</t>
  </si>
  <si>
    <t>KEY CONVENTIONS:  Values in $ millions unless noted. Financing percentages apply to the equity purchase price. Fees and integration costs</t>
  </si>
  <si>
    <t>are entered pre-tax, tax-effected at the acquirer's rate, and expensed in Year 1. Fees are paid from balance-sheet cash. Lost interest</t>
  </si>
  <si>
    <t>income accrues on cash consideration plus fees. Target debt is assumed, not refinanced. The acquirer's tax rate applies to all adjustments.</t>
  </si>
  <si>
    <t>LIMITATIONS:  This is a compact screening model, not a full merger model. It excludes purchase price allocation, goodwill and intangible</t>
  </si>
  <si>
    <t>amortization, deferred taxes, full three-statement integration, debt amortization schedules and financing fees. Standalone earnings are</t>
  </si>
  <si>
    <t>held flat across the three forecast years so that the deal effects are isolated.</t>
  </si>
  <si>
    <t>DISCLAIMER:  Educational portfolio project using fictional companies and illustrative figures. Not investment advice or a fairness opinion.</t>
  </si>
  <si>
    <t>TRANSACTION MODEL — CALCULATION ENGINE</t>
  </si>
  <si>
    <t>1.  STANDALONE COMPANY METRICS</t>
  </si>
  <si>
    <t>Acquirer Standalone EPS ($)</t>
  </si>
  <si>
    <t>Target Standalone EPS ($)</t>
  </si>
  <si>
    <t>Acquirer Equity Value ($mm)</t>
  </si>
  <si>
    <t>Acquirer Enterprise Value ($mm)</t>
  </si>
  <si>
    <t>Target Equity Value — Unaffected ($mm)</t>
  </si>
  <si>
    <t>Target Enterprise Value — Unaffected ($mm)</t>
  </si>
  <si>
    <t>Target EV / Revenue — Unaffected</t>
  </si>
  <si>
    <t>Target EV / EBITDA — Unaffected</t>
  </si>
  <si>
    <t>2.  PURCHASE PRICE</t>
  </si>
  <si>
    <t>Offer Price per Target Share ($)</t>
  </si>
  <si>
    <t>Equity Purchase Price ($mm)</t>
  </si>
  <si>
    <t>Target Net Debt ($mm)</t>
  </si>
  <si>
    <t>Transaction Enterprise Value ($mm)</t>
  </si>
  <si>
    <t>Implied EV / Revenue</t>
  </si>
  <si>
    <t>Implied EV / EBITDA</t>
  </si>
  <si>
    <t>Premium Paid over Unaffected Equity Value ($mm)</t>
  </si>
  <si>
    <t>3.  FINANCING — SOURCES &amp; USES</t>
  </si>
  <si>
    <t>Cash Consideration ($mm)</t>
  </si>
  <si>
    <t>New Debt Issued ($mm)</t>
  </si>
  <si>
    <t>Stock Consideration ($mm)</t>
  </si>
  <si>
    <t>Total Sources ($mm)</t>
  </si>
  <si>
    <t>Total Uses — Equity Purchase Price ($mm)</t>
  </si>
  <si>
    <t>New Shares Issued (mm)</t>
  </si>
  <si>
    <t>Exchange Ratio (offer price / acquirer price)</t>
  </si>
  <si>
    <t>Pro Forma Shares Outstanding (mm)</t>
  </si>
  <si>
    <t>Interest Expense on New Debt ($mm, pre-tax)</t>
  </si>
  <si>
    <t>Lost Interest Income — cash used + fees ($mm, pre-tax)</t>
  </si>
  <si>
    <t>4.  SYNERGIES</t>
  </si>
  <si>
    <t>Run-Rate</t>
  </si>
  <si>
    <t>Year 1</t>
  </si>
  <si>
    <t>Year 2</t>
  </si>
  <si>
    <t>Year 3</t>
  </si>
  <si>
    <t>Cost Synergies ($mm, pre-tax)</t>
  </si>
  <si>
    <t>Revenue Synergies ($mm)</t>
  </si>
  <si>
    <t>EBITDA from Revenue Synergies ($mm, pre-tax)</t>
  </si>
  <si>
    <t>Total Pre-Tax Run-Rate Synergies ($mm)</t>
  </si>
  <si>
    <t>Total After-Tax Run-Rate Synergies ($mm)</t>
  </si>
  <si>
    <t>Synergy Realization (%)</t>
  </si>
  <si>
    <t>Realized Pre-Tax Synergies ($mm)</t>
  </si>
  <si>
    <t>Realized After-Tax Synergies ($mm)</t>
  </si>
  <si>
    <t>5.  PRO FORMA EARNINGS ($mm)</t>
  </si>
  <si>
    <t>6.  EPS ACCRETION / (DILUTION)</t>
  </si>
  <si>
    <t>Pro Forma EPS ($)</t>
  </si>
  <si>
    <t>EPS Change ($)</t>
  </si>
  <si>
    <t>EPS Accretion / (Dilution) (%)</t>
  </si>
  <si>
    <t>7.  LEVERAGE ANALYSIS</t>
  </si>
  <si>
    <t>Acquirer Standalone Net Debt ($mm)</t>
  </si>
  <si>
    <t>Acquirer Standalone Net Debt / EBITDA</t>
  </si>
  <si>
    <t>Pro Forma Total Debt ($mm)</t>
  </si>
  <si>
    <t>Pro Forma Cash ($mm)</t>
  </si>
  <si>
    <t>Pro Forma Net Debt ($mm)</t>
  </si>
  <si>
    <t>Pro Forma EBITDA — Before Synergies ($mm)</t>
  </si>
  <si>
    <t>Pro Forma EBITDA — Incl. Full Run-Rate Synergies ($mm)</t>
  </si>
  <si>
    <t>Net Debt / EBITDA — Pro Forma, Before Synergies</t>
  </si>
  <si>
    <t>Net Debt / EBITDA — Pro Forma, Full Synergies</t>
  </si>
  <si>
    <t>8.  BREAK-EVEN SYNERGY ANALYSIS  (steady-state, ex one-time costs)</t>
  </si>
  <si>
    <t>Required Pro Forma Net Income for EPS Neutrality ($mm)</t>
  </si>
  <si>
    <t>Pro Forma Net Income Excluding Synergies ($mm)</t>
  </si>
  <si>
    <t>Break-Even Run-Rate Synergies ($mm, pre-tax)</t>
  </si>
  <si>
    <t>Negative value = deal is accretive even with zero synergies</t>
  </si>
  <si>
    <t>Assumed Run-Rate Synergies ($mm, pre-tax)</t>
  </si>
  <si>
    <t>Synergy Cushion / (Shortfall) ($mm)</t>
  </si>
  <si>
    <t>Assumed Synergies as % of Break-Even</t>
  </si>
  <si>
    <t>"n.m." when break-even is zero or negative</t>
  </si>
  <si>
    <t>9.  SYNERGY PAYBACK ANALYSIS</t>
  </si>
  <si>
    <t>Premium Paid ($mm)</t>
  </si>
  <si>
    <t>One-Time Integration Costs ($mm)</t>
  </si>
  <si>
    <t>Transaction Fees ($mm)</t>
  </si>
  <si>
    <t>Total Upfront Economic Cost ($mm)</t>
  </si>
  <si>
    <t>Annual After-Tax Realized Synergies ($mm)</t>
  </si>
  <si>
    <t>Cumulative After-Tax Synergies ($mm)</t>
  </si>
  <si>
    <t>Approximate Payback Period (years)</t>
  </si>
  <si>
    <t>Annual interpolation; assumes after-tax synergies continue at the 100% run-rate beyond Year 3.</t>
  </si>
  <si>
    <t>10.  MODEL CHECKS</t>
  </si>
  <si>
    <t>Financing mix sums to 100%</t>
  </si>
  <si>
    <t>Sources equal uses</t>
  </si>
  <si>
    <t>Pro forma shares reconcile</t>
  </si>
  <si>
    <t>No negative share issuance</t>
  </si>
  <si>
    <t>Tax rate valid (0–50%)</t>
  </si>
  <si>
    <t>Synergy realization %s valid (0–100%)</t>
  </si>
  <si>
    <t>Purchase price reconciles (offer × target shares)</t>
  </si>
  <si>
    <t>No divide-by-zero risk (shares and EPS &gt; 0)</t>
  </si>
  <si>
    <t>MASTER CHECK</t>
  </si>
  <si>
    <t>M&amp;A DEAL DASHBOARD</t>
  </si>
  <si>
    <t>TRANSACTION SUMMARY</t>
  </si>
  <si>
    <t>Offer Price per Share</t>
  </si>
  <si>
    <t>Year 1 EPS Accretion / (Dilution)</t>
  </si>
  <si>
    <t>Purchase Premium</t>
  </si>
  <si>
    <t>Year 2 EPS Accretion / (Dilution)</t>
  </si>
  <si>
    <t>Year 3 EPS Accretion / (Dilution)</t>
  </si>
  <si>
    <t>Break-Even Run-Rate Synergies ($mm)</t>
  </si>
  <si>
    <t>Assumed Run-Rate Synergies ($mm)</t>
  </si>
  <si>
    <t>Financing — Cash</t>
  </si>
  <si>
    <t>PF Net Debt / EBITDA (Before Synergies)</t>
  </si>
  <si>
    <t>Financing — New Debt</t>
  </si>
  <si>
    <t>PF Net Debt / EBITDA (Full Synergies)</t>
  </si>
  <si>
    <t>Financing — New Shares</t>
  </si>
  <si>
    <t>Synergy Payback Period (years)</t>
  </si>
  <si>
    <t>Model Checks</t>
  </si>
  <si>
    <t>TRANSACTION ASSESSMENT</t>
  </si>
  <si>
    <t>SENSITIVITY 1 — YEAR 2 EPS ACCRETION / (DILUTION):  PURCHASE PREMIUM  vs  COST SYNERGIES ($mm)</t>
  </si>
  <si>
    <t>Premium ↓  /  Cost Synergies →</t>
  </si>
  <si>
    <t>SENSITIVITY 2 — YEAR 2 EPS ACCRETION / (DILUTION):  % DEBT FINANCING  vs  INTEREST RATE ON NEW DEBT</t>
  </si>
  <si>
    <t>% Debt ↓  /  Interest Rate →</t>
  </si>
  <si>
    <t>Year 2 EPS impact. Stock % = 100% − cash % − debt %; cash % held at the Deal Inputs value. Premium and synergies held at base.</t>
  </si>
  <si>
    <t>Standalone EPS ($)</t>
  </si>
  <si>
    <t>Financing Mix ($mm)</t>
  </si>
  <si>
    <t>Cash</t>
  </si>
  <si>
    <t>New Debt</t>
  </si>
  <si>
    <t>New Shares</t>
  </si>
  <si>
    <t>Deal Inputs: All yellow cells should contain inputed data</t>
  </si>
  <si>
    <t>Acquirer Net Income ($mm)</t>
  </si>
  <si>
    <t>(+) Target Net Income ($mm)</t>
  </si>
  <si>
    <t>(+) Realized After-Tax Synergies ($mm)</t>
  </si>
  <si>
    <t>(–) After-Tax Interest Expense on New Debt ($mm)</t>
  </si>
  <si>
    <t>(–) After-Tax Lost Interest Income ($mm)</t>
  </si>
  <si>
    <t>Pro Forma Net Income ($mm)</t>
  </si>
  <si>
    <t>(–) One-Time Integration Costs &amp; Fees, After-Tax (Yr 1 only) ($mm)</t>
  </si>
  <si>
    <t>CHART DATA (the chart is driven by the formula so do not modify the chart directly)</t>
  </si>
  <si>
    <t>Charts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</si>
</sst>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$#,##0.00;&quot;($&quot;#,##0.00\);\-"/>
    <numFmt numFmtId="165" formatCode="#,##0.0;\(#,##0.0\);\-"/>
    <numFmt numFmtId="166" formatCode="\$#,##0;&quot;($&quot;#,##0\);\-"/>
    <numFmt numFmtId="167" formatCode="0.0%;\(0.0%\);\-"/>
    <numFmt numFmtId="168" formatCode="0%;\(0%\);\-"/>
    <numFmt numFmtId="169" formatCode="0.00\x;\(0.00&quot;x)&quot;;\-"/>
    <numFmt numFmtId="170" formatCode="\$#,##0.0;&quot;($&quot;#,##0.0\);\-"/>
    <numFmt numFmtId="171" formatCode="\$#,##0.000;&quot;($&quot;#,##0.000\);\-"/>
    <numFmt numFmtId="172" formatCode="0.0"/>
  </numFmts>
  <fonts count="28" x14ac:knownFonts="1">
    <font>
      <sz val="11"/>
      <color theme="1"/>
      <name val="Calibri"/>
      <family val="2"/>
      <charset val="1"/>
    </font>
    <font>
      <b/>
      <sz val="14"/>
      <color rgb="FF1F3864"/>
      <name val="Lato"/>
    </font>
    <font>
      <sz val="11"/>
      <color theme="1"/>
      <name val="Lato"/>
    </font>
    <font>
      <i/>
      <sz val="10"/>
      <color rgb="FF595959"/>
      <name val="Lato"/>
    </font>
    <font>
      <b/>
      <sz val="10"/>
      <name val="Lato"/>
    </font>
    <font>
      <sz val="10"/>
      <color rgb="FF0000FF"/>
      <name val="Lato"/>
    </font>
    <font>
      <i/>
      <sz val="9"/>
      <color rgb="FF595959"/>
      <name val="Lato"/>
    </font>
    <font>
      <sz val="10"/>
      <name val="Lato"/>
    </font>
    <font>
      <sz val="10"/>
      <color rgb="FF000000"/>
      <name val="Lato"/>
    </font>
    <font>
      <b/>
      <sz val="10"/>
      <color rgb="FFC00000"/>
      <name val="Lato"/>
    </font>
    <font>
      <sz val="9"/>
      <color rgb="FF404040"/>
      <name val="Lato"/>
    </font>
    <font>
      <i/>
      <sz val="10"/>
      <color theme="0"/>
      <name val="Lato"/>
    </font>
    <font>
      <sz val="24"/>
      <color theme="0"/>
      <name val="Lato"/>
    </font>
    <font>
      <b/>
      <sz val="12"/>
      <color rgb="FFFFFFFF"/>
      <name val="Lato"/>
    </font>
    <font>
      <sz val="26"/>
      <color theme="0"/>
      <name val="Lato"/>
    </font>
    <font>
      <sz val="10"/>
      <color rgb="FF008000"/>
      <name val="Lato"/>
    </font>
    <font>
      <sz val="12"/>
      <color theme="1"/>
      <name val="Lato"/>
    </font>
    <font>
      <b/>
      <sz val="18"/>
      <color theme="0"/>
      <name val="Lato"/>
    </font>
    <font>
      <b/>
      <sz val="12"/>
      <color rgb="FF1F3864"/>
      <name val="Lato"/>
    </font>
    <font>
      <b/>
      <sz val="24"/>
      <color theme="0"/>
      <name val="Lato"/>
    </font>
    <font>
      <b/>
      <sz val="22"/>
      <color rgb="FF1F3864"/>
      <name val="Lato"/>
    </font>
    <font>
      <b/>
      <sz val="16"/>
      <color rgb="FFFFFFFF"/>
      <name val="Lato"/>
    </font>
    <font>
      <b/>
      <sz val="11"/>
      <color rgb="FF1F3864"/>
      <name val="Lato"/>
    </font>
    <font>
      <i/>
      <sz val="9"/>
      <color rgb="FF1F3864"/>
      <name val="Lato"/>
    </font>
    <font>
      <sz val="11"/>
      <color rgb="FF1F3864"/>
      <name val="Lato"/>
    </font>
    <font>
      <sz val="10"/>
      <color rgb="FF1F3864"/>
      <name val="Lato"/>
    </font>
    <font>
      <b/>
      <sz val="10"/>
      <color rgb="FF1F3864"/>
      <name val="Lato"/>
    </font>
    <font>
      <i/>
      <sz val="11"/>
      <color rgb="FF1F3864"/>
      <name val="Lato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F2F2F2"/>
      </patternFill>
    </fill>
    <fill>
      <patternFill patternType="solid">
        <fgColor rgb="FFDCE6F1"/>
        <bgColor indexed="64"/>
      </patternFill>
    </fill>
    <fill>
      <patternFill patternType="solid">
        <fgColor rgb="FF0E5690"/>
        <bgColor indexed="64"/>
      </patternFill>
    </fill>
    <fill>
      <patternFill patternType="solid">
        <fgColor rgb="FF1F386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CE6F1"/>
        <bgColor rgb="FFF9F9F9"/>
      </patternFill>
    </fill>
  </fills>
  <borders count="1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2" fillId="2" borderId="0" xfId="0" applyFont="1" applyFill="1"/>
    <xf numFmtId="0" fontId="1" fillId="4" borderId="0" xfId="0" applyFont="1" applyFill="1"/>
    <xf numFmtId="0" fontId="0" fillId="6" borderId="0" xfId="0" applyFill="1"/>
    <xf numFmtId="0" fontId="3" fillId="6" borderId="0" xfId="0" applyFont="1" applyFill="1"/>
    <xf numFmtId="0" fontId="2" fillId="6" borderId="0" xfId="0" applyFont="1" applyFill="1"/>
    <xf numFmtId="0" fontId="13" fillId="2" borderId="0" xfId="0" applyFont="1" applyFill="1" applyAlignment="1">
      <alignment horizontal="center" vertical="center"/>
    </xf>
    <xf numFmtId="0" fontId="2" fillId="4" borderId="0" xfId="0" applyFont="1" applyFill="1"/>
    <xf numFmtId="0" fontId="6" fillId="4" borderId="0" xfId="0" applyFont="1" applyFill="1"/>
    <xf numFmtId="0" fontId="7" fillId="4" borderId="2" xfId="0" applyFont="1" applyFill="1" applyBorder="1"/>
    <xf numFmtId="167" fontId="5" fillId="3" borderId="2" xfId="0" applyNumberFormat="1" applyFont="1" applyFill="1" applyBorder="1"/>
    <xf numFmtId="0" fontId="2" fillId="4" borderId="2" xfId="0" applyFont="1" applyFill="1" applyBorder="1"/>
    <xf numFmtId="168" fontId="5" fillId="3" borderId="2" xfId="0" applyNumberFormat="1" applyFont="1" applyFill="1" applyBorder="1"/>
    <xf numFmtId="166" fontId="5" fillId="3" borderId="2" xfId="0" applyNumberFormat="1" applyFont="1" applyFill="1" applyBorder="1"/>
    <xf numFmtId="168" fontId="5" fillId="7" borderId="2" xfId="0" applyNumberFormat="1" applyFont="1" applyFill="1" applyBorder="1"/>
    <xf numFmtId="166" fontId="5" fillId="7" borderId="2" xfId="0" applyNumberFormat="1" applyFont="1" applyFill="1" applyBorder="1"/>
    <xf numFmtId="0" fontId="6" fillId="4" borderId="2" xfId="0" applyFont="1" applyFill="1" applyBorder="1"/>
    <xf numFmtId="164" fontId="5" fillId="3" borderId="2" xfId="0" applyNumberFormat="1" applyFont="1" applyFill="1" applyBorder="1"/>
    <xf numFmtId="165" fontId="5" fillId="7" borderId="2" xfId="0" applyNumberFormat="1" applyFont="1" applyFill="1" applyBorder="1"/>
    <xf numFmtId="167" fontId="5" fillId="7" borderId="2" xfId="0" applyNumberFormat="1" applyFont="1" applyFill="1" applyBorder="1"/>
    <xf numFmtId="0" fontId="14" fillId="6" borderId="0" xfId="0" applyFont="1" applyFill="1" applyAlignment="1">
      <alignment vertical="center" wrapText="1"/>
    </xf>
    <xf numFmtId="0" fontId="10" fillId="4" borderId="0" xfId="0" applyFont="1" applyFill="1"/>
    <xf numFmtId="0" fontId="5" fillId="7" borderId="2" xfId="0" applyFont="1" applyFill="1" applyBorder="1" applyAlignment="1">
      <alignment horizontal="right"/>
    </xf>
    <xf numFmtId="168" fontId="8" fillId="4" borderId="2" xfId="0" applyNumberFormat="1" applyFont="1" applyFill="1" applyBorder="1"/>
    <xf numFmtId="0" fontId="2" fillId="5" borderId="0" xfId="0" applyFont="1" applyFill="1"/>
    <xf numFmtId="0" fontId="0" fillId="6" borderId="0" xfId="0" applyFill="1" applyAlignment="1">
      <alignment wrapText="1"/>
    </xf>
    <xf numFmtId="166" fontId="15" fillId="4" borderId="0" xfId="0" applyNumberFormat="1" applyFont="1" applyFill="1"/>
    <xf numFmtId="168" fontId="15" fillId="4" borderId="0" xfId="0" applyNumberFormat="1" applyFont="1" applyFill="1"/>
    <xf numFmtId="0" fontId="16" fillId="2" borderId="0" xfId="0" applyFont="1" applyFill="1"/>
    <xf numFmtId="0" fontId="0" fillId="5" borderId="0" xfId="0" applyFill="1"/>
    <xf numFmtId="167" fontId="8" fillId="0" borderId="1" xfId="0" applyNumberFormat="1" applyFont="1" applyBorder="1" applyAlignment="1">
      <alignment horizontal="center"/>
    </xf>
    <xf numFmtId="164" fontId="15" fillId="4" borderId="0" xfId="0" applyNumberFormat="1" applyFont="1" applyFill="1"/>
    <xf numFmtId="167" fontId="15" fillId="4" borderId="0" xfId="0" applyNumberFormat="1" applyFont="1" applyFill="1"/>
    <xf numFmtId="169" fontId="15" fillId="4" borderId="0" xfId="0" applyNumberFormat="1" applyFont="1" applyFill="1"/>
    <xf numFmtId="165" fontId="15" fillId="4" borderId="0" xfId="0" applyNumberFormat="1" applyFont="1" applyFill="1"/>
    <xf numFmtId="0" fontId="13" fillId="2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center"/>
    </xf>
    <xf numFmtId="167" fontId="15" fillId="4" borderId="0" xfId="0" applyNumberFormat="1" applyFont="1" applyFill="1" applyAlignment="1">
      <alignment horizontal="center"/>
    </xf>
    <xf numFmtId="170" fontId="15" fillId="4" borderId="0" xfId="0" applyNumberFormat="1" applyFont="1" applyFill="1" applyAlignment="1">
      <alignment horizontal="center"/>
    </xf>
    <xf numFmtId="169" fontId="15" fillId="4" borderId="0" xfId="0" applyNumberFormat="1" applyFont="1" applyFill="1" applyAlignment="1">
      <alignment horizontal="center"/>
    </xf>
    <xf numFmtId="0" fontId="19" fillId="5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/>
    </xf>
    <xf numFmtId="172" fontId="15" fillId="4" borderId="0" xfId="0" applyNumberFormat="1" applyFont="1" applyFill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6" fillId="4" borderId="5" xfId="0" applyFont="1" applyFill="1" applyBorder="1" applyAlignment="1">
      <alignment horizontal="left"/>
    </xf>
    <xf numFmtId="0" fontId="9" fillId="4" borderId="3" xfId="0" applyFont="1" applyFill="1" applyBorder="1" applyAlignment="1">
      <alignment horizontal="left"/>
    </xf>
    <xf numFmtId="0" fontId="9" fillId="4" borderId="4" xfId="0" applyFont="1" applyFill="1" applyBorder="1" applyAlignment="1">
      <alignment horizontal="left"/>
    </xf>
    <xf numFmtId="0" fontId="9" fillId="4" borderId="5" xfId="0" applyFont="1" applyFill="1" applyBorder="1" applyAlignment="1">
      <alignment horizontal="left"/>
    </xf>
    <xf numFmtId="0" fontId="12" fillId="5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horizontal="left" vertical="center" indent="1"/>
    </xf>
    <xf numFmtId="0" fontId="17" fillId="5" borderId="0" xfId="0" applyFont="1" applyFill="1" applyAlignment="1">
      <alignment horizontal="center" vertical="center" wrapText="1"/>
    </xf>
    <xf numFmtId="170" fontId="8" fillId="4" borderId="2" xfId="0" applyNumberFormat="1" applyFont="1" applyFill="1" applyBorder="1"/>
    <xf numFmtId="166" fontId="15" fillId="4" borderId="2" xfId="0" applyNumberFormat="1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vertical="center"/>
    </xf>
    <xf numFmtId="166" fontId="8" fillId="4" borderId="2" xfId="0" applyNumberFormat="1" applyFont="1" applyFill="1" applyBorder="1"/>
    <xf numFmtId="168" fontId="15" fillId="4" borderId="2" xfId="0" applyNumberFormat="1" applyFont="1" applyFill="1" applyBorder="1"/>
    <xf numFmtId="0" fontId="13" fillId="2" borderId="3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166" fontId="15" fillId="4" borderId="3" xfId="0" applyNumberFormat="1" applyFont="1" applyFill="1" applyBorder="1" applyAlignment="1">
      <alignment horizontal="center"/>
    </xf>
    <xf numFmtId="166" fontId="15" fillId="4" borderId="5" xfId="0" applyNumberFormat="1" applyFont="1" applyFill="1" applyBorder="1" applyAlignment="1">
      <alignment horizontal="center"/>
    </xf>
    <xf numFmtId="166" fontId="8" fillId="4" borderId="3" xfId="0" applyNumberFormat="1" applyFont="1" applyFill="1" applyBorder="1" applyAlignment="1">
      <alignment horizontal="center"/>
    </xf>
    <xf numFmtId="166" fontId="8" fillId="4" borderId="5" xfId="0" applyNumberFormat="1" applyFont="1" applyFill="1" applyBorder="1" applyAlignment="1">
      <alignment horizontal="center"/>
    </xf>
    <xf numFmtId="166" fontId="4" fillId="4" borderId="3" xfId="0" applyNumberFormat="1" applyFont="1" applyFill="1" applyBorder="1" applyAlignment="1">
      <alignment horizontal="center"/>
    </xf>
    <xf numFmtId="166" fontId="4" fillId="4" borderId="5" xfId="0" applyNumberFormat="1" applyFont="1" applyFill="1" applyBorder="1" applyAlignment="1">
      <alignment horizontal="center"/>
    </xf>
    <xf numFmtId="170" fontId="8" fillId="4" borderId="3" xfId="0" applyNumberFormat="1" applyFont="1" applyFill="1" applyBorder="1" applyAlignment="1">
      <alignment horizontal="center"/>
    </xf>
    <xf numFmtId="170" fontId="8" fillId="4" borderId="5" xfId="0" applyNumberFormat="1" applyFont="1" applyFill="1" applyBorder="1" applyAlignment="1">
      <alignment horizontal="center"/>
    </xf>
    <xf numFmtId="167" fontId="4" fillId="8" borderId="7" xfId="0" applyNumberFormat="1" applyFont="1" applyFill="1" applyBorder="1"/>
    <xf numFmtId="167" fontId="4" fillId="8" borderId="8" xfId="0" applyNumberFormat="1" applyFont="1" applyFill="1" applyBorder="1"/>
    <xf numFmtId="167" fontId="4" fillId="8" borderId="9" xfId="0" applyNumberFormat="1" applyFont="1" applyFill="1" applyBorder="1"/>
    <xf numFmtId="166" fontId="8" fillId="4" borderId="2" xfId="0" applyNumberFormat="1" applyFont="1" applyFill="1" applyBorder="1" applyAlignment="1">
      <alignment horizontal="left"/>
    </xf>
    <xf numFmtId="0" fontId="20" fillId="3" borderId="0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167" fontId="8" fillId="0" borderId="11" xfId="0" applyNumberFormat="1" applyFont="1" applyBorder="1" applyAlignment="1">
      <alignment horizontal="center"/>
    </xf>
    <xf numFmtId="168" fontId="5" fillId="3" borderId="0" xfId="0" applyNumberFormat="1" applyFont="1" applyFill="1" applyAlignment="1">
      <alignment horizontal="center"/>
    </xf>
    <xf numFmtId="167" fontId="5" fillId="3" borderId="2" xfId="0" applyNumberFormat="1" applyFont="1" applyFill="1" applyBorder="1" applyAlignment="1">
      <alignment horizontal="center" vertical="center"/>
    </xf>
    <xf numFmtId="167" fontId="8" fillId="0" borderId="12" xfId="0" applyNumberFormat="1" applyFont="1" applyBorder="1" applyAlignment="1">
      <alignment horizontal="center"/>
    </xf>
    <xf numFmtId="168" fontId="5" fillId="3" borderId="2" xfId="0" applyNumberFormat="1" applyFont="1" applyFill="1" applyBorder="1" applyAlignment="1">
      <alignment horizontal="center"/>
    </xf>
    <xf numFmtId="167" fontId="8" fillId="0" borderId="13" xfId="0" applyNumberFormat="1" applyFont="1" applyBorder="1" applyAlignment="1">
      <alignment horizontal="center"/>
    </xf>
    <xf numFmtId="166" fontId="5" fillId="3" borderId="2" xfId="0" applyNumberFormat="1" applyFont="1" applyFill="1" applyBorder="1" applyAlignment="1">
      <alignment horizontal="center"/>
    </xf>
    <xf numFmtId="166" fontId="5" fillId="3" borderId="2" xfId="0" applyNumberFormat="1" applyFont="1" applyFill="1" applyBorder="1" applyAlignment="1">
      <alignment horizontal="center" vertical="center"/>
    </xf>
    <xf numFmtId="0" fontId="22" fillId="4" borderId="0" xfId="0" applyFont="1" applyFill="1" applyAlignment="1">
      <alignment horizontal="center" vertical="center"/>
    </xf>
    <xf numFmtId="0" fontId="23" fillId="4" borderId="0" xfId="0" applyFont="1" applyFill="1"/>
    <xf numFmtId="0" fontId="24" fillId="4" borderId="0" xfId="0" applyFont="1" applyFill="1"/>
    <xf numFmtId="0" fontId="24" fillId="4" borderId="0" xfId="0" applyFont="1" applyFill="1" applyBorder="1"/>
    <xf numFmtId="167" fontId="25" fillId="0" borderId="11" xfId="0" applyNumberFormat="1" applyFont="1" applyBorder="1" applyAlignment="1">
      <alignment horizontal="center"/>
    </xf>
    <xf numFmtId="167" fontId="25" fillId="0" borderId="1" xfId="0" applyNumberFormat="1" applyFont="1" applyBorder="1" applyAlignment="1">
      <alignment horizontal="center"/>
    </xf>
    <xf numFmtId="0" fontId="25" fillId="4" borderId="0" xfId="0" applyFont="1" applyFill="1"/>
    <xf numFmtId="0" fontId="25" fillId="4" borderId="2" xfId="0" applyFont="1" applyFill="1" applyBorder="1"/>
    <xf numFmtId="0" fontId="26" fillId="4" borderId="2" xfId="0" applyFont="1" applyFill="1" applyBorder="1"/>
    <xf numFmtId="0" fontId="27" fillId="4" borderId="0" xfId="0" applyFont="1" applyFill="1" applyAlignment="1">
      <alignment horizontal="left"/>
    </xf>
    <xf numFmtId="0" fontId="22" fillId="4" borderId="2" xfId="0" applyFont="1" applyFill="1" applyBorder="1" applyAlignment="1">
      <alignment horizontal="center" vertical="center"/>
    </xf>
    <xf numFmtId="0" fontId="24" fillId="4" borderId="10" xfId="0" applyFont="1" applyFill="1" applyBorder="1"/>
    <xf numFmtId="164" fontId="24" fillId="4" borderId="2" xfId="0" applyNumberFormat="1" applyFont="1" applyFill="1" applyBorder="1" applyAlignment="1">
      <alignment horizontal="center" vertical="center"/>
    </xf>
    <xf numFmtId="0" fontId="24" fillId="4" borderId="2" xfId="0" applyFont="1" applyFill="1" applyBorder="1"/>
    <xf numFmtId="166" fontId="24" fillId="4" borderId="2" xfId="0" applyNumberFormat="1" applyFont="1" applyFill="1" applyBorder="1" applyAlignment="1">
      <alignment horizontal="center" vertical="center"/>
    </xf>
    <xf numFmtId="0" fontId="22" fillId="4" borderId="2" xfId="0" applyFont="1" applyFill="1" applyBorder="1"/>
    <xf numFmtId="166" fontId="24" fillId="4" borderId="2" xfId="0" applyNumberFormat="1" applyFont="1" applyFill="1" applyBorder="1"/>
    <xf numFmtId="164" fontId="25" fillId="4" borderId="2" xfId="0" applyNumberFormat="1" applyFont="1" applyFill="1" applyBorder="1" applyAlignment="1">
      <alignment horizontal="left"/>
    </xf>
    <xf numFmtId="166" fontId="25" fillId="4" borderId="2" xfId="0" applyNumberFormat="1" applyFont="1" applyFill="1" applyBorder="1" applyAlignment="1">
      <alignment horizontal="left"/>
    </xf>
    <xf numFmtId="169" fontId="25" fillId="4" borderId="2" xfId="0" applyNumberFormat="1" applyFont="1" applyFill="1" applyBorder="1" applyAlignment="1">
      <alignment horizontal="left"/>
    </xf>
    <xf numFmtId="0" fontId="18" fillId="2" borderId="0" xfId="0" applyFont="1" applyFill="1" applyAlignment="1">
      <alignment horizontal="center" vertical="center"/>
    </xf>
    <xf numFmtId="0" fontId="24" fillId="2" borderId="0" xfId="0" applyFont="1" applyFill="1"/>
    <xf numFmtId="166" fontId="25" fillId="4" borderId="3" xfId="0" applyNumberFormat="1" applyFont="1" applyFill="1" applyBorder="1" applyAlignment="1">
      <alignment horizontal="left"/>
    </xf>
    <xf numFmtId="166" fontId="25" fillId="4" borderId="4" xfId="0" applyNumberFormat="1" applyFont="1" applyFill="1" applyBorder="1" applyAlignment="1">
      <alignment horizontal="left"/>
    </xf>
    <xf numFmtId="166" fontId="25" fillId="4" borderId="5" xfId="0" applyNumberFormat="1" applyFont="1" applyFill="1" applyBorder="1" applyAlignment="1">
      <alignment horizontal="left"/>
    </xf>
    <xf numFmtId="165" fontId="25" fillId="4" borderId="3" xfId="0" applyNumberFormat="1" applyFont="1" applyFill="1" applyBorder="1" applyAlignment="1">
      <alignment horizontal="left"/>
    </xf>
    <xf numFmtId="165" fontId="25" fillId="4" borderId="4" xfId="0" applyNumberFormat="1" applyFont="1" applyFill="1" applyBorder="1" applyAlignment="1">
      <alignment horizontal="left"/>
    </xf>
    <xf numFmtId="165" fontId="25" fillId="4" borderId="5" xfId="0" applyNumberFormat="1" applyFont="1" applyFill="1" applyBorder="1" applyAlignment="1">
      <alignment horizontal="left"/>
    </xf>
    <xf numFmtId="169" fontId="25" fillId="4" borderId="3" xfId="0" applyNumberFormat="1" applyFont="1" applyFill="1" applyBorder="1" applyAlignment="1">
      <alignment horizontal="left"/>
    </xf>
    <xf numFmtId="169" fontId="25" fillId="4" borderId="4" xfId="0" applyNumberFormat="1" applyFont="1" applyFill="1" applyBorder="1" applyAlignment="1">
      <alignment horizontal="left"/>
    </xf>
    <xf numFmtId="169" fontId="25" fillId="4" borderId="5" xfId="0" applyNumberFormat="1" applyFont="1" applyFill="1" applyBorder="1" applyAlignment="1">
      <alignment horizontal="left"/>
    </xf>
    <xf numFmtId="170" fontId="25" fillId="4" borderId="3" xfId="0" applyNumberFormat="1" applyFont="1" applyFill="1" applyBorder="1" applyAlignment="1">
      <alignment horizontal="left"/>
    </xf>
    <xf numFmtId="170" fontId="25" fillId="4" borderId="4" xfId="0" applyNumberFormat="1" applyFont="1" applyFill="1" applyBorder="1" applyAlignment="1">
      <alignment horizontal="left"/>
    </xf>
    <xf numFmtId="170" fontId="25" fillId="4" borderId="5" xfId="0" applyNumberFormat="1" applyFont="1" applyFill="1" applyBorder="1" applyAlignment="1">
      <alignment horizontal="left"/>
    </xf>
    <xf numFmtId="0" fontId="25" fillId="4" borderId="3" xfId="0" applyFont="1" applyFill="1" applyBorder="1" applyAlignment="1"/>
    <xf numFmtId="0" fontId="25" fillId="4" borderId="4" xfId="0" applyFont="1" applyFill="1" applyBorder="1" applyAlignment="1"/>
    <xf numFmtId="0" fontId="25" fillId="4" borderId="5" xfId="0" applyFont="1" applyFill="1" applyBorder="1" applyAlignment="1"/>
    <xf numFmtId="170" fontId="25" fillId="4" borderId="2" xfId="0" applyNumberFormat="1" applyFont="1" applyFill="1" applyBorder="1" applyAlignment="1">
      <alignment horizontal="center"/>
    </xf>
    <xf numFmtId="0" fontId="26" fillId="4" borderId="3" xfId="0" applyFont="1" applyFill="1" applyBorder="1" applyAlignment="1"/>
    <xf numFmtId="0" fontId="26" fillId="4" borderId="4" xfId="0" applyFont="1" applyFill="1" applyBorder="1" applyAlignment="1"/>
    <xf numFmtId="0" fontId="26" fillId="4" borderId="5" xfId="0" applyFont="1" applyFill="1" applyBorder="1" applyAlignment="1"/>
    <xf numFmtId="170" fontId="26" fillId="4" borderId="2" xfId="0" applyNumberFormat="1" applyFont="1" applyFill="1" applyBorder="1" applyAlignment="1">
      <alignment horizontal="center"/>
    </xf>
    <xf numFmtId="0" fontId="25" fillId="4" borderId="3" xfId="0" applyFont="1" applyFill="1" applyBorder="1" applyAlignment="1">
      <alignment horizontal="left"/>
    </xf>
    <xf numFmtId="0" fontId="25" fillId="4" borderId="4" xfId="0" applyFont="1" applyFill="1" applyBorder="1" applyAlignment="1">
      <alignment horizontal="left"/>
    </xf>
    <xf numFmtId="0" fontId="25" fillId="4" borderId="5" xfId="0" applyFont="1" applyFill="1" applyBorder="1" applyAlignment="1">
      <alignment horizontal="left"/>
    </xf>
    <xf numFmtId="164" fontId="25" fillId="4" borderId="3" xfId="0" applyNumberFormat="1" applyFont="1" applyFill="1" applyBorder="1" applyAlignment="1">
      <alignment horizontal="center"/>
    </xf>
    <xf numFmtId="164" fontId="25" fillId="4" borderId="5" xfId="0" applyNumberFormat="1" applyFont="1" applyFill="1" applyBorder="1" applyAlignment="1">
      <alignment horizontal="center"/>
    </xf>
    <xf numFmtId="0" fontId="24" fillId="4" borderId="3" xfId="0" applyFont="1" applyFill="1" applyBorder="1" applyAlignment="1">
      <alignment horizontal="center"/>
    </xf>
    <xf numFmtId="0" fontId="24" fillId="4" borderId="5" xfId="0" applyFont="1" applyFill="1" applyBorder="1" applyAlignment="1">
      <alignment horizontal="center"/>
    </xf>
    <xf numFmtId="171" fontId="25" fillId="4" borderId="2" xfId="0" applyNumberFormat="1" applyFont="1" applyFill="1" applyBorder="1"/>
    <xf numFmtId="171" fontId="25" fillId="4" borderId="6" xfId="0" applyNumberFormat="1" applyFont="1" applyFill="1" applyBorder="1"/>
    <xf numFmtId="169" fontId="26" fillId="4" borderId="3" xfId="0" applyNumberFormat="1" applyFont="1" applyFill="1" applyBorder="1" applyAlignment="1">
      <alignment horizontal="left"/>
    </xf>
    <xf numFmtId="169" fontId="26" fillId="4" borderId="4" xfId="0" applyNumberFormat="1" applyFont="1" applyFill="1" applyBorder="1" applyAlignment="1">
      <alignment horizontal="left"/>
    </xf>
    <xf numFmtId="169" fontId="26" fillId="4" borderId="5" xfId="0" applyNumberFormat="1" applyFont="1" applyFill="1" applyBorder="1" applyAlignment="1">
      <alignment horizontal="left"/>
    </xf>
    <xf numFmtId="170" fontId="25" fillId="4" borderId="2" xfId="0" applyNumberFormat="1" applyFont="1" applyFill="1" applyBorder="1"/>
    <xf numFmtId="0" fontId="24" fillId="4" borderId="4" xfId="0" applyFont="1" applyFill="1" applyBorder="1" applyAlignment="1">
      <alignment horizontal="center"/>
    </xf>
    <xf numFmtId="170" fontId="26" fillId="4" borderId="2" xfId="0" applyNumberFormat="1" applyFont="1" applyFill="1" applyBorder="1"/>
    <xf numFmtId="0" fontId="23" fillId="4" borderId="2" xfId="0" applyFont="1" applyFill="1" applyBorder="1"/>
    <xf numFmtId="168" fontId="25" fillId="4" borderId="2" xfId="0" applyNumberFormat="1" applyFont="1" applyFill="1" applyBorder="1"/>
    <xf numFmtId="166" fontId="25" fillId="4" borderId="3" xfId="0" applyNumberFormat="1" applyFont="1" applyFill="1" applyBorder="1" applyAlignment="1">
      <alignment horizontal="center"/>
    </xf>
    <xf numFmtId="166" fontId="25" fillId="4" borderId="5" xfId="0" applyNumberFormat="1" applyFont="1" applyFill="1" applyBorder="1" applyAlignment="1">
      <alignment horizontal="center"/>
    </xf>
    <xf numFmtId="166" fontId="26" fillId="4" borderId="3" xfId="0" applyNumberFormat="1" applyFont="1" applyFill="1" applyBorder="1" applyAlignment="1">
      <alignment horizontal="center"/>
    </xf>
    <xf numFmtId="166" fontId="26" fillId="4" borderId="5" xfId="0" applyNumberFormat="1" applyFont="1" applyFill="1" applyBorder="1" applyAlignment="1">
      <alignment horizontal="center"/>
    </xf>
    <xf numFmtId="172" fontId="26" fillId="4" borderId="3" xfId="0" applyNumberFormat="1" applyFont="1" applyFill="1" applyBorder="1" applyAlignment="1">
      <alignment horizontal="center"/>
    </xf>
    <xf numFmtId="172" fontId="26" fillId="4" borderId="5" xfId="0" applyNumberFormat="1" applyFont="1" applyFill="1" applyBorder="1" applyAlignment="1">
      <alignment horizontal="center"/>
    </xf>
    <xf numFmtId="0" fontId="23" fillId="4" borderId="3" xfId="0" applyFont="1" applyFill="1" applyBorder="1" applyAlignment="1">
      <alignment horizontal="left"/>
    </xf>
    <xf numFmtId="0" fontId="23" fillId="4" borderId="4" xfId="0" applyFont="1" applyFill="1" applyBorder="1" applyAlignment="1">
      <alignment horizontal="left"/>
    </xf>
    <xf numFmtId="0" fontId="23" fillId="4" borderId="5" xfId="0" applyFont="1" applyFill="1" applyBorder="1" applyAlignment="1">
      <alignment horizontal="left"/>
    </xf>
    <xf numFmtId="0" fontId="25" fillId="4" borderId="3" xfId="0" applyFont="1" applyFill="1" applyBorder="1" applyAlignment="1">
      <alignment horizontal="center"/>
    </xf>
    <xf numFmtId="0" fontId="25" fillId="4" borderId="4" xfId="0" applyFont="1" applyFill="1" applyBorder="1" applyAlignment="1">
      <alignment horizontal="center"/>
    </xf>
    <xf numFmtId="0" fontId="25" fillId="4" borderId="5" xfId="0" applyFont="1" applyFill="1" applyBorder="1" applyAlignment="1">
      <alignment horizontal="center"/>
    </xf>
    <xf numFmtId="0" fontId="26" fillId="8" borderId="3" xfId="0" applyFont="1" applyFill="1" applyBorder="1" applyAlignment="1">
      <alignment horizontal="center"/>
    </xf>
    <xf numFmtId="0" fontId="26" fillId="8" borderId="4" xfId="0" applyFont="1" applyFill="1" applyBorder="1" applyAlignment="1">
      <alignment horizontal="center"/>
    </xf>
    <xf numFmtId="0" fontId="26" fillId="8" borderId="5" xfId="0" applyFont="1" applyFill="1" applyBorder="1" applyAlignment="1">
      <alignment horizontal="center"/>
    </xf>
    <xf numFmtId="166" fontId="5" fillId="7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8">
    <dxf>
      <numFmt numFmtId="0" formatCode="General"/>
      <fill>
        <patternFill>
          <bgColor theme="5" tint="0.39994506668294322"/>
        </patternFill>
      </fill>
    </dxf>
    <dxf>
      <font>
        <color rgb="FF008000"/>
      </font>
      <fill>
        <patternFill>
          <fgColor auto="1"/>
          <bgColor theme="6" tint="0.39991454817346722"/>
        </patternFill>
      </fill>
    </dxf>
    <dxf>
      <font>
        <b/>
        <sz val="10"/>
        <color rgb="FFC00000"/>
        <name val="Arial"/>
        <charset val="1"/>
      </font>
    </dxf>
    <dxf>
      <font>
        <b/>
        <sz val="10"/>
        <color rgb="FF008000"/>
        <name val="Arial"/>
        <charset val="1"/>
      </font>
    </dxf>
    <dxf>
      <font>
        <b/>
        <sz val="10"/>
        <color rgb="FFC00000"/>
        <name val="Arial"/>
        <charset val="1"/>
      </font>
    </dxf>
    <dxf>
      <font>
        <b/>
        <sz val="10"/>
        <color rgb="FF008000"/>
        <name val="Arial"/>
        <charset val="1"/>
      </font>
    </dxf>
    <dxf>
      <font>
        <b/>
        <sz val="10"/>
        <color rgb="FFC00000"/>
        <name val="Arial"/>
        <charset val="1"/>
      </font>
    </dxf>
    <dxf>
      <font>
        <b/>
        <sz val="10"/>
        <color rgb="FFC00000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79637"/>
      <rgbColor rgb="FF800080"/>
      <rgbColor rgb="FF008080"/>
      <rgbColor rgb="FFBFBFBF"/>
      <rgbColor rgb="FF878787"/>
      <rgbColor rgb="FF9999FF"/>
      <rgbColor rgb="FFC0504D"/>
      <rgbColor rgb="FFFFF2CC"/>
      <rgbColor rgb="FFF2F2F2"/>
      <rgbColor rgb="FF660066"/>
      <rgbColor rgb="FFFF8080"/>
      <rgbColor rgb="FF2E5F99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FCC99"/>
      <rgbColor rgb="FF397BCA"/>
      <rgbColor rgb="FF33CCCC"/>
      <rgbColor rgb="FF9CC745"/>
      <rgbColor rgb="FFFFCC00"/>
      <rgbColor rgb="FFFF9900"/>
      <rgbColor rgb="FFFF6600"/>
      <rgbColor rgb="FF595959"/>
      <rgbColor rgb="FF969696"/>
      <rgbColor rgb="FF1F3864"/>
      <rgbColor rgb="FF4F81BD"/>
      <rgbColor rgb="FF003300"/>
      <rgbColor rgb="FF333300"/>
      <rgbColor rgb="FF9C2F2C"/>
      <rgbColor rgb="FFCE3A3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F3864"/>
      <color rgb="FF008000"/>
      <color rgb="FF0E5690"/>
      <color rgb="FFDCE6F1"/>
      <color rgb="FFFFF2CC"/>
      <color rgb="FF18DF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wrap="square" anchor="ctr" anchorCtr="1"/>
          <a:lstStyle/>
          <a:p>
            <a:pPr>
              <a:defRPr sz="1920" b="1" i="0" u="none" strike="noStrike" kern="1200" baseline="0">
                <a:solidFill>
                  <a:srgbClr val="0E5690"/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Standalone vs Pro Forma EPS</a:t>
            </a:r>
          </a:p>
        </c:rich>
      </c:tx>
      <c:layout>
        <c:manualLayout>
          <c:xMode val="edge"/>
          <c:yMode val="edge"/>
          <c:x val="0.20040944123314067"/>
          <c:y val="2.7825858329133892E-2"/>
        </c:manualLayout>
      </c:layout>
      <c:overlay val="0"/>
      <c:spPr>
        <a:noFill/>
        <a:ln w="0">
          <a:noFill/>
        </a:ln>
        <a:effectLst/>
      </c:spPr>
      <c:txPr>
        <a:bodyPr rot="0" spcFirstLastPara="1" vertOverflow="ellipsis" wrap="square" anchor="ctr" anchorCtr="1"/>
        <a:lstStyle/>
        <a:p>
          <a:pPr>
            <a:defRPr sz="1920" b="1" i="0" u="none" strike="noStrike" kern="1200" baseline="0">
              <a:solidFill>
                <a:srgbClr val="0E569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Dashboard!$B$39</c:f>
              <c:strCache>
                <c:ptCount val="1"/>
                <c:pt idx="0">
                  <c:v>Standalone EPS ($)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rgbClr val="0E569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Dashboard!$C$38:$E$38</c:f>
              <c:strCache>
                <c:ptCount val="3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</c:strCache>
            </c:strRef>
          </c:cat>
          <c:val>
            <c:numRef>
              <c:f>Dashboard!$C$39:$E$39</c:f>
              <c:numCache>
                <c:formatCode>\$#,##0.00;"($"#,##0.00\);\-</c:formatCode>
                <c:ptCount val="3"/>
                <c:pt idx="0">
                  <c:v>2.1363636363636362</c:v>
                </c:pt>
                <c:pt idx="1">
                  <c:v>2.1363636363636362</c:v>
                </c:pt>
                <c:pt idx="2">
                  <c:v>2.1363636363636362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5E-4E09-AF19-A927D91B0214}"/>
            </c:ext>
          </c:extLst>
        </c:ser>
        <c:ser>
          <c:idx val="1"/>
          <c:order val="1"/>
          <c:tx>
            <c:strRef>
              <c:f>Dashboard!$B$40</c:f>
              <c:strCache>
                <c:ptCount val="1"/>
                <c:pt idx="0">
                  <c:v>Pro Forma EPS ($)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rgbClr val="0E569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Dashboard!$C$38:$E$38</c:f>
              <c:strCache>
                <c:ptCount val="3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</c:strCache>
            </c:strRef>
          </c:cat>
          <c:val>
            <c:numRef>
              <c:f>Dashboard!$C$40:$E$40</c:f>
              <c:numCache>
                <c:formatCode>\$#,##0.00;"($"#,##0.00\);\-</c:formatCode>
                <c:ptCount val="3"/>
                <c:pt idx="0">
                  <c:v>1.9989669180531797</c:v>
                </c:pt>
                <c:pt idx="1">
                  <c:v>2.3986909112113204</c:v>
                </c:pt>
                <c:pt idx="2">
                  <c:v>2.4610840071528535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5E-4E09-AF19-A927D91B02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457829"/>
        <c:axId val="50817892"/>
      </c:barChart>
      <c:catAx>
        <c:axId val="8845782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360" cap="flat" cmpd="sng" algn="ctr">
            <a:solidFill>
              <a:srgbClr val="878787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rgbClr val="0E569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817892"/>
        <c:crosses val="autoZero"/>
        <c:auto val="1"/>
        <c:lblAlgn val="ctr"/>
        <c:lblOffset val="100"/>
        <c:noMultiLvlLbl val="0"/>
      </c:catAx>
      <c:valAx>
        <c:axId val="50817892"/>
        <c:scaling>
          <c:orientation val="minMax"/>
        </c:scaling>
        <c:delete val="0"/>
        <c:axPos val="l"/>
        <c:majorGridlines>
          <c:spPr>
            <a:ln w="9360" cap="flat" cmpd="sng" algn="ctr">
              <a:solidFill>
                <a:srgbClr val="878787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rgbClr val="0E569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EPS ($)</a:t>
                </a:r>
              </a:p>
            </c:rich>
          </c:tx>
          <c:overlay val="0"/>
          <c:spPr>
            <a:noFill/>
            <a:ln w="0">
              <a:noFill/>
            </a:ln>
            <a:effectLst/>
          </c:spPr>
          <c:txPr>
            <a:bodyPr rot="-5400000" spcFirstLastPara="1" vertOverflow="ellipsis" wrap="square" anchor="ctr" anchorCtr="1"/>
            <a:lstStyle/>
            <a:p>
              <a:pPr>
                <a:defRPr sz="1600" b="1" i="0" u="none" strike="noStrike" kern="1200" baseline="0">
                  <a:solidFill>
                    <a:srgbClr val="0E569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\$0.00" sourceLinked="0"/>
        <c:majorTickMark val="none"/>
        <c:minorTickMark val="none"/>
        <c:tickLblPos val="nextTo"/>
        <c:spPr>
          <a:noFill/>
          <a:ln w="9360" cap="flat" cmpd="sng" algn="ctr">
            <a:solidFill>
              <a:srgbClr val="878787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rgbClr val="0E569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457829"/>
        <c:crosses val="autoZero"/>
        <c:crossBetween val="between"/>
      </c:valAx>
      <c:spPr>
        <a:noFill/>
        <a:ln w="0">
          <a:noFill/>
        </a:ln>
        <a:effectLst/>
      </c:spPr>
    </c:plotArea>
    <c:legend>
      <c:legendPos val="r"/>
      <c:overlay val="0"/>
      <c:spPr>
        <a:noFill/>
        <a:ln w="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rgbClr val="0E569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DCE6F1"/>
    </a:solidFill>
    <a:ln w="9360" cap="flat" cmpd="sng" algn="ctr">
      <a:solidFill>
        <a:srgbClr val="D9D9D9"/>
      </a:solidFill>
      <a:prstDash val="solid"/>
      <a:round/>
    </a:ln>
    <a:effectLst/>
  </c:spPr>
  <c:txPr>
    <a:bodyPr/>
    <a:lstStyle/>
    <a:p>
      <a:pPr>
        <a:defRPr sz="1600">
          <a:solidFill>
            <a:srgbClr val="0E569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wrap="square" anchor="ctr" anchorCtr="1"/>
          <a:lstStyle/>
          <a:p>
            <a:pPr>
              <a:defRPr sz="1680" b="1" i="0" u="none" strike="noStrike" kern="1200" baseline="0">
                <a:solidFill>
                  <a:srgbClr val="0E5690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r>
              <a:rPr lang="en-CA"/>
              <a:t>Realized Pre-Tax Synergies by Year</a:t>
            </a:r>
          </a:p>
        </c:rich>
      </c:tx>
      <c:layout>
        <c:manualLayout>
          <c:xMode val="edge"/>
          <c:yMode val="edge"/>
          <c:x val="0.23314610935609098"/>
          <c:y val="2.5164959280321794E-2"/>
        </c:manualLayout>
      </c:layout>
      <c:overlay val="0"/>
      <c:spPr>
        <a:noFill/>
        <a:ln w="0">
          <a:noFill/>
        </a:ln>
        <a:effectLst/>
      </c:spPr>
      <c:txPr>
        <a:bodyPr rot="0" spcFirstLastPara="1" vertOverflow="ellipsis" wrap="square" anchor="ctr" anchorCtr="1"/>
        <a:lstStyle/>
        <a:p>
          <a:pPr>
            <a:defRPr sz="1680" b="1" i="0" u="none" strike="noStrike" kern="1200" baseline="0">
              <a:solidFill>
                <a:srgbClr val="0E5690"/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Dashboard!$B$41</c:f>
              <c:strCache>
                <c:ptCount val="1"/>
                <c:pt idx="0">
                  <c:v>Realized Pre-Tax Synergies ($mm)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rgbClr val="0E5690"/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Dashboard!$C$38:$E$38</c:f>
              <c:strCache>
                <c:ptCount val="3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</c:strCache>
            </c:strRef>
          </c:cat>
          <c:val>
            <c:numRef>
              <c:f>Dashboard!$C$41:$E$41</c:f>
              <c:numCache>
                <c:formatCode>\$#,##0;"($"#,##0\);\-</c:formatCode>
                <c:ptCount val="3"/>
                <c:pt idx="0">
                  <c:v>53.5</c:v>
                </c:pt>
                <c:pt idx="1">
                  <c:v>85.600000000000009</c:v>
                </c:pt>
                <c:pt idx="2">
                  <c:v>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60-4B89-B775-17E50A275E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852848"/>
        <c:axId val="20121828"/>
      </c:barChart>
      <c:catAx>
        <c:axId val="30852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360" cap="flat" cmpd="sng" algn="ctr">
            <a:solidFill>
              <a:srgbClr val="878787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E5690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n-US"/>
          </a:p>
        </c:txPr>
        <c:crossAx val="20121828"/>
        <c:crosses val="autoZero"/>
        <c:auto val="1"/>
        <c:lblAlgn val="ctr"/>
        <c:lblOffset val="100"/>
        <c:noMultiLvlLbl val="0"/>
      </c:catAx>
      <c:valAx>
        <c:axId val="20121828"/>
        <c:scaling>
          <c:orientation val="minMax"/>
        </c:scaling>
        <c:delete val="0"/>
        <c:axPos val="l"/>
        <c:majorGridlines>
          <c:spPr>
            <a:ln w="9360" cap="flat" cmpd="sng" algn="ctr">
              <a:solidFill>
                <a:srgbClr val="878787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rgbClr val="0E5690"/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en-CA"/>
                  <a:t>$mm</a:t>
                </a:r>
              </a:p>
            </c:rich>
          </c:tx>
          <c:overlay val="0"/>
          <c:spPr>
            <a:noFill/>
            <a:ln w="0">
              <a:noFill/>
            </a:ln>
            <a:effectLst/>
          </c:spPr>
          <c:txPr>
            <a:bodyPr rot="-5400000" spcFirstLastPara="1" vertOverflow="ellipsis" wrap="square" anchor="ctr" anchorCtr="1"/>
            <a:lstStyle/>
            <a:p>
              <a:pPr>
                <a:defRPr sz="1400" b="1" i="0" u="none" strike="noStrike" kern="1200" baseline="0">
                  <a:solidFill>
                    <a:srgbClr val="0E5690"/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en-US"/>
            </a:p>
          </c:txPr>
        </c:title>
        <c:numFmt formatCode="\$#,##0;&quot;($&quot;#,##0\);\-" sourceLinked="1"/>
        <c:majorTickMark val="none"/>
        <c:minorTickMark val="none"/>
        <c:tickLblPos val="nextTo"/>
        <c:spPr>
          <a:noFill/>
          <a:ln w="9360" cap="flat" cmpd="sng" algn="ctr">
            <a:solidFill>
              <a:srgbClr val="878787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E5690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n-US"/>
          </a:p>
        </c:txPr>
        <c:crossAx val="30852848"/>
        <c:crosses val="autoZero"/>
        <c:crossBetween val="between"/>
      </c:valAx>
      <c:spPr>
        <a:noFill/>
        <a:ln w="0">
          <a:noFill/>
        </a:ln>
        <a:effectLst/>
      </c:spPr>
    </c:plotArea>
    <c:plotVisOnly val="1"/>
    <c:dispBlanksAs val="gap"/>
    <c:showDLblsOverMax val="1"/>
  </c:chart>
  <c:spPr>
    <a:solidFill>
      <a:srgbClr val="DCE6F1"/>
    </a:solidFill>
    <a:ln w="9360" cap="flat" cmpd="sng" algn="ctr">
      <a:solidFill>
        <a:srgbClr val="D9D9D9"/>
      </a:solidFill>
      <a:prstDash val="solid"/>
      <a:round/>
    </a:ln>
    <a:effectLst/>
  </c:spPr>
  <c:txPr>
    <a:bodyPr/>
    <a:lstStyle/>
    <a:p>
      <a:pPr>
        <a:defRPr sz="1400">
          <a:solidFill>
            <a:srgbClr val="0E5690"/>
          </a:solidFill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wrap="square" anchor="ctr" anchorCtr="1"/>
          <a:lstStyle/>
          <a:p>
            <a:pPr>
              <a:defRPr sz="1440" b="1" i="0" u="none" strike="noStrike" kern="1200" cap="all" spc="50" baseline="0">
                <a:solidFill>
                  <a:schemeClr val="tx2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r>
              <a:rPr lang="en-CA"/>
              <a:t>Financing Mix ($mm)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wrap="square" anchor="ctr" anchorCtr="1"/>
        <a:lstStyle/>
        <a:p>
          <a:pPr>
            <a:defRPr sz="1440" b="1" i="0" u="none" strike="noStrike" kern="1200" cap="all" spc="50" baseline="0">
              <a:solidFill>
                <a:schemeClr val="tx2"/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9040182249090657"/>
          <c:y val="0.3633245923450602"/>
          <c:w val="0.44334024054852161"/>
          <c:h val="0.5411812710789318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33A-4A1C-B196-61BB9DB773C9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33A-4A1C-B196-61BB9DB773C9}"/>
              </c:ext>
            </c:extLst>
          </c:dPt>
          <c:dPt>
            <c:idx val="2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933A-4A1C-B196-61BB9DB773C9}"/>
              </c:ext>
            </c:extLst>
          </c:dPt>
          <c:dLbls>
            <c:dLbl>
              <c:idx val="0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33A-4A1C-B196-61BB9DB773C9}"/>
                </c:ext>
              </c:extLst>
            </c:dLbl>
            <c:dLbl>
              <c:idx val="1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33A-4A1C-B196-61BB9DB773C9}"/>
                </c:ext>
              </c:extLst>
            </c:dLbl>
            <c:dLbl>
              <c:idx val="2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33A-4A1C-B196-61BB9DB773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1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Dashboard!$B$44:$B$46</c:f>
              <c:strCache>
                <c:ptCount val="3"/>
                <c:pt idx="0">
                  <c:v>Cash</c:v>
                </c:pt>
                <c:pt idx="1">
                  <c:v>New Debt</c:v>
                </c:pt>
                <c:pt idx="2">
                  <c:v>New Shares</c:v>
                </c:pt>
              </c:strCache>
            </c:strRef>
          </c:cat>
          <c:val>
            <c:numRef>
              <c:f>Dashboard!$C$44:$C$46</c:f>
              <c:numCache>
                <c:formatCode>\$#,##0;"($"#,##0\);\-</c:formatCode>
                <c:ptCount val="3"/>
                <c:pt idx="0">
                  <c:v>744.8</c:v>
                </c:pt>
                <c:pt idx="1">
                  <c:v>1303.3999999999999</c:v>
                </c:pt>
                <c:pt idx="2">
                  <c:v>1675.7999999999997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33A-4A1C-B196-61BB9DB773C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2"/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DCE6F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2"/>
          </a:solidFill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0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0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22859</xdr:colOff>
      <xdr:row>0</xdr:row>
      <xdr:rowOff>121920</xdr:rowOff>
    </xdr:from>
    <xdr:to>
      <xdr:col>1</xdr:col>
      <xdr:colOff>3185658</xdr:colOff>
      <xdr:row>0</xdr:row>
      <xdr:rowOff>906780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DE2C3C-A2E0-496B-A7BE-CB93A6077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19" y="121920"/>
          <a:ext cx="3162799" cy="7848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304799</xdr:colOff>
      <xdr:row>0</xdr:row>
      <xdr:rowOff>60960</xdr:rowOff>
    </xdr:from>
    <xdr:to>
      <xdr:col>1</xdr:col>
      <xdr:colOff>3230692</xdr:colOff>
      <xdr:row>0</xdr:row>
      <xdr:rowOff>787031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C0252E-3B47-4057-9B0B-C71091AA2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59" y="60960"/>
          <a:ext cx="2925893" cy="7260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297180</xdr:colOff>
      <xdr:row>1</xdr:row>
      <xdr:rowOff>205740</xdr:rowOff>
    </xdr:from>
    <xdr:to>
      <xdr:col>15</xdr:col>
      <xdr:colOff>289560</xdr:colOff>
      <xdr:row>14</xdr:row>
      <xdr:rowOff>63840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274320</xdr:colOff>
      <xdr:row>15</xdr:row>
      <xdr:rowOff>205740</xdr:rowOff>
    </xdr:from>
    <xdr:to>
      <xdr:col>15</xdr:col>
      <xdr:colOff>83820</xdr:colOff>
      <xdr:row>27</xdr:row>
      <xdr:rowOff>376260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9</xdr:col>
      <xdr:colOff>678180</xdr:colOff>
      <xdr:row>30</xdr:row>
      <xdr:rowOff>121920</xdr:rowOff>
    </xdr:from>
    <xdr:to>
      <xdr:col>14</xdr:col>
      <xdr:colOff>62400</xdr:colOff>
      <xdr:row>42</xdr:row>
      <xdr:rowOff>25200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139149</xdr:colOff>
      <xdr:row>0</xdr:row>
      <xdr:rowOff>125897</xdr:rowOff>
    </xdr:from>
    <xdr:to>
      <xdr:col>3</xdr:col>
      <xdr:colOff>154709</xdr:colOff>
      <xdr:row>0</xdr:row>
      <xdr:rowOff>857931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B76594B-FD91-404A-92B7-16245EB08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497" y="125897"/>
          <a:ext cx="2949922" cy="7320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showGridLines="0" tabSelected="1" zoomScaleNormal="100" workbookViewId="0">
      <pane ySplit="2" topLeftCell="A3" activePane="bottomLeft" state="frozen"/>
      <selection pane="bottomLeft" activeCell="C20" sqref="C20"/>
    </sheetView>
  </sheetViews>
  <sheetFormatPr defaultColWidth="8.6640625" defaultRowHeight="16.8" x14ac:dyDescent="0.4"/>
  <cols>
    <col min="1" max="1" width="8.6640625" style="3"/>
    <col min="2" max="2" width="47.6640625" style="24" customWidth="1"/>
    <col min="3" max="3" width="22.88671875" style="24" customWidth="1"/>
    <col min="4" max="4" width="15" style="24" customWidth="1"/>
    <col min="5" max="7" width="12" style="24" customWidth="1"/>
    <col min="8" max="16384" width="8.6640625" style="24"/>
  </cols>
  <sheetData>
    <row r="1" spans="2:8" ht="87" customHeight="1" x14ac:dyDescent="0.55000000000000004">
      <c r="B1" s="2"/>
      <c r="C1" s="52" t="s">
        <v>0</v>
      </c>
      <c r="D1" s="52"/>
      <c r="E1" s="52"/>
      <c r="F1" s="52"/>
      <c r="G1" s="52"/>
      <c r="H1" s="20"/>
    </row>
    <row r="2" spans="2:8" ht="25.8" customHeight="1" x14ac:dyDescent="0.4">
      <c r="B2" s="53" t="s">
        <v>165</v>
      </c>
      <c r="C2" s="53"/>
      <c r="D2" s="53"/>
      <c r="E2" s="53"/>
      <c r="F2" s="53"/>
      <c r="G2" s="53"/>
      <c r="H2" s="5"/>
    </row>
    <row r="3" spans="2:8" ht="21.6" customHeight="1" x14ac:dyDescent="0.4">
      <c r="B3" s="35" t="s">
        <v>1</v>
      </c>
      <c r="C3" s="35"/>
      <c r="D3" s="1"/>
      <c r="E3" s="1"/>
      <c r="F3" s="1"/>
      <c r="G3" s="1"/>
      <c r="H3" s="5"/>
    </row>
    <row r="4" spans="2:8" x14ac:dyDescent="0.4">
      <c r="B4" s="9" t="s">
        <v>2</v>
      </c>
      <c r="C4" s="22" t="s">
        <v>3</v>
      </c>
      <c r="D4" s="43"/>
      <c r="E4" s="44"/>
      <c r="F4" s="44"/>
      <c r="G4" s="45"/>
      <c r="H4" s="5"/>
    </row>
    <row r="5" spans="2:8" x14ac:dyDescent="0.4">
      <c r="B5" s="9" t="s">
        <v>4</v>
      </c>
      <c r="C5" s="17">
        <v>45</v>
      </c>
      <c r="D5" s="43"/>
      <c r="E5" s="44"/>
      <c r="F5" s="44"/>
      <c r="G5" s="45"/>
      <c r="H5" s="5"/>
    </row>
    <row r="6" spans="2:8" x14ac:dyDescent="0.4">
      <c r="B6" s="9" t="s">
        <v>5</v>
      </c>
      <c r="C6" s="18">
        <v>220</v>
      </c>
      <c r="D6" s="43"/>
      <c r="E6" s="44"/>
      <c r="F6" s="44"/>
      <c r="G6" s="45"/>
      <c r="H6" s="5"/>
    </row>
    <row r="7" spans="2:8" x14ac:dyDescent="0.4">
      <c r="B7" s="9" t="s">
        <v>6</v>
      </c>
      <c r="C7" s="15">
        <v>4800</v>
      </c>
      <c r="D7" s="43"/>
      <c r="E7" s="44"/>
      <c r="F7" s="44"/>
      <c r="G7" s="45"/>
      <c r="H7" s="5"/>
    </row>
    <row r="8" spans="2:8" x14ac:dyDescent="0.4">
      <c r="B8" s="9" t="s">
        <v>7</v>
      </c>
      <c r="C8" s="15">
        <v>960</v>
      </c>
      <c r="D8" s="43"/>
      <c r="E8" s="44"/>
      <c r="F8" s="44"/>
      <c r="G8" s="45"/>
      <c r="H8" s="5"/>
    </row>
    <row r="9" spans="2:8" x14ac:dyDescent="0.4">
      <c r="B9" s="9" t="s">
        <v>8</v>
      </c>
      <c r="C9" s="15">
        <v>720</v>
      </c>
      <c r="D9" s="43"/>
      <c r="E9" s="44"/>
      <c r="F9" s="44"/>
      <c r="G9" s="45"/>
      <c r="H9" s="5"/>
    </row>
    <row r="10" spans="2:8" x14ac:dyDescent="0.4">
      <c r="B10" s="9" t="s">
        <v>9</v>
      </c>
      <c r="C10" s="15">
        <v>470</v>
      </c>
      <c r="D10" s="43"/>
      <c r="E10" s="44"/>
      <c r="F10" s="44"/>
      <c r="G10" s="45"/>
      <c r="H10" s="5"/>
    </row>
    <row r="11" spans="2:8" x14ac:dyDescent="0.4">
      <c r="B11" s="9" t="s">
        <v>10</v>
      </c>
      <c r="C11" s="15">
        <v>650</v>
      </c>
      <c r="D11" s="43"/>
      <c r="E11" s="44"/>
      <c r="F11" s="44"/>
      <c r="G11" s="45"/>
      <c r="H11" s="5"/>
    </row>
    <row r="12" spans="2:8" x14ac:dyDescent="0.4">
      <c r="B12" s="9" t="s">
        <v>11</v>
      </c>
      <c r="C12" s="15">
        <v>1400</v>
      </c>
      <c r="D12" s="43"/>
      <c r="E12" s="44"/>
      <c r="F12" s="44"/>
      <c r="G12" s="45"/>
      <c r="H12" s="5"/>
    </row>
    <row r="13" spans="2:8" x14ac:dyDescent="0.4">
      <c r="B13" s="9" t="s">
        <v>12</v>
      </c>
      <c r="C13" s="19">
        <v>3.5000000000000003E-2</v>
      </c>
      <c r="D13" s="46" t="s">
        <v>13</v>
      </c>
      <c r="E13" s="47"/>
      <c r="F13" s="47"/>
      <c r="G13" s="48"/>
      <c r="H13" s="5"/>
    </row>
    <row r="14" spans="2:8" x14ac:dyDescent="0.4">
      <c r="B14" s="9" t="s">
        <v>14</v>
      </c>
      <c r="C14" s="19">
        <v>0.25</v>
      </c>
      <c r="D14" s="46" t="s">
        <v>15</v>
      </c>
      <c r="E14" s="47"/>
      <c r="F14" s="47"/>
      <c r="G14" s="48"/>
      <c r="H14" s="5"/>
    </row>
    <row r="15" spans="2:8" ht="23.4" customHeight="1" x14ac:dyDescent="0.4">
      <c r="B15" s="35" t="s">
        <v>16</v>
      </c>
      <c r="C15" s="35"/>
      <c r="D15" s="1"/>
      <c r="E15" s="1"/>
      <c r="F15" s="1"/>
      <c r="G15" s="1"/>
      <c r="H15" s="5"/>
    </row>
    <row r="16" spans="2:8" x14ac:dyDescent="0.4">
      <c r="B16" s="9" t="s">
        <v>2</v>
      </c>
      <c r="C16" s="22" t="s">
        <v>17</v>
      </c>
      <c r="D16" s="43"/>
      <c r="E16" s="44"/>
      <c r="F16" s="44"/>
      <c r="G16" s="45"/>
      <c r="H16" s="5"/>
    </row>
    <row r="17" spans="2:8" x14ac:dyDescent="0.4">
      <c r="B17" s="9" t="s">
        <v>18</v>
      </c>
      <c r="C17" s="17">
        <v>28</v>
      </c>
      <c r="D17" s="43"/>
      <c r="E17" s="44"/>
      <c r="F17" s="44"/>
      <c r="G17" s="45"/>
      <c r="H17" s="5"/>
    </row>
    <row r="18" spans="2:8" x14ac:dyDescent="0.4">
      <c r="B18" s="9" t="s">
        <v>5</v>
      </c>
      <c r="C18" s="18">
        <v>95</v>
      </c>
      <c r="D18" s="43"/>
      <c r="E18" s="44"/>
      <c r="F18" s="44"/>
      <c r="G18" s="45"/>
      <c r="H18" s="5"/>
    </row>
    <row r="19" spans="2:8" x14ac:dyDescent="0.4">
      <c r="B19" s="9" t="s">
        <v>6</v>
      </c>
      <c r="C19" s="15">
        <v>1650</v>
      </c>
      <c r="D19" s="43"/>
      <c r="E19" s="44"/>
      <c r="F19" s="44"/>
      <c r="G19" s="45"/>
      <c r="H19" s="5"/>
    </row>
    <row r="20" spans="2:8" x14ac:dyDescent="0.4">
      <c r="B20" s="9" t="s">
        <v>7</v>
      </c>
      <c r="C20" s="15">
        <v>340</v>
      </c>
      <c r="D20" s="43"/>
      <c r="E20" s="44"/>
      <c r="F20" s="44"/>
      <c r="G20" s="45"/>
      <c r="H20" s="5"/>
    </row>
    <row r="21" spans="2:8" x14ac:dyDescent="0.4">
      <c r="B21" s="9" t="s">
        <v>8</v>
      </c>
      <c r="C21" s="15">
        <v>265</v>
      </c>
      <c r="D21" s="43"/>
      <c r="E21" s="44"/>
      <c r="F21" s="44"/>
      <c r="G21" s="45"/>
      <c r="H21" s="5"/>
    </row>
    <row r="22" spans="2:8" x14ac:dyDescent="0.4">
      <c r="B22" s="9" t="s">
        <v>9</v>
      </c>
      <c r="C22" s="15">
        <v>172</v>
      </c>
      <c r="D22" s="43"/>
      <c r="E22" s="44"/>
      <c r="F22" s="44"/>
      <c r="G22" s="45"/>
      <c r="H22" s="5"/>
    </row>
    <row r="23" spans="2:8" x14ac:dyDescent="0.4">
      <c r="B23" s="9" t="s">
        <v>10</v>
      </c>
      <c r="C23" s="15">
        <v>210</v>
      </c>
      <c r="D23" s="43"/>
      <c r="E23" s="44"/>
      <c r="F23" s="44"/>
      <c r="G23" s="45"/>
      <c r="H23" s="5"/>
    </row>
    <row r="24" spans="2:8" x14ac:dyDescent="0.4">
      <c r="B24" s="9" t="s">
        <v>11</v>
      </c>
      <c r="C24" s="15">
        <v>480</v>
      </c>
      <c r="D24" s="46" t="s">
        <v>19</v>
      </c>
      <c r="E24" s="47"/>
      <c r="F24" s="47"/>
      <c r="G24" s="48"/>
      <c r="H24" s="5"/>
    </row>
    <row r="25" spans="2:8" x14ac:dyDescent="0.4">
      <c r="B25" s="9" t="s">
        <v>14</v>
      </c>
      <c r="C25" s="19">
        <v>0.25</v>
      </c>
      <c r="D25" s="46" t="s">
        <v>20</v>
      </c>
      <c r="E25" s="47"/>
      <c r="F25" s="47"/>
      <c r="G25" s="48"/>
      <c r="H25" s="5"/>
    </row>
    <row r="26" spans="2:8" ht="22.2" customHeight="1" x14ac:dyDescent="0.4">
      <c r="B26" s="35" t="s">
        <v>21</v>
      </c>
      <c r="C26" s="35"/>
      <c r="D26" s="1"/>
      <c r="E26" s="1"/>
      <c r="F26" s="1"/>
      <c r="G26" s="1"/>
      <c r="H26" s="5"/>
    </row>
    <row r="27" spans="2:8" x14ac:dyDescent="0.4">
      <c r="B27" s="9" t="s">
        <v>22</v>
      </c>
      <c r="C27" s="10">
        <v>0.4</v>
      </c>
      <c r="D27" s="43"/>
      <c r="E27" s="44"/>
      <c r="F27" s="44"/>
      <c r="G27" s="45"/>
      <c r="H27" s="5"/>
    </row>
    <row r="28" spans="2:8" x14ac:dyDescent="0.4">
      <c r="B28" s="9" t="s">
        <v>23</v>
      </c>
      <c r="C28" s="12">
        <v>0.2</v>
      </c>
      <c r="D28" s="43"/>
      <c r="E28" s="44"/>
      <c r="F28" s="44"/>
      <c r="G28" s="45"/>
      <c r="H28" s="5"/>
    </row>
    <row r="29" spans="2:8" x14ac:dyDescent="0.4">
      <c r="B29" s="9" t="s">
        <v>24</v>
      </c>
      <c r="C29" s="12">
        <v>0.35</v>
      </c>
      <c r="D29" s="43"/>
      <c r="E29" s="44"/>
      <c r="F29" s="44"/>
      <c r="G29" s="45"/>
      <c r="H29" s="5"/>
    </row>
    <row r="30" spans="2:8" x14ac:dyDescent="0.4">
      <c r="B30" s="9" t="s">
        <v>25</v>
      </c>
      <c r="C30" s="12">
        <v>0.45</v>
      </c>
      <c r="D30" s="43"/>
      <c r="E30" s="44"/>
      <c r="F30" s="44"/>
      <c r="G30" s="45"/>
      <c r="H30" s="5"/>
    </row>
    <row r="31" spans="2:8" x14ac:dyDescent="0.4">
      <c r="B31" s="9" t="s">
        <v>26</v>
      </c>
      <c r="C31" s="23">
        <f>C28+C29+C30</f>
        <v>1</v>
      </c>
      <c r="D31" s="49" t="str">
        <f>IF(ABS(C31-1)&lt;0.0001,"✓ OK — financing mix sums to 100%","✗ ERROR — financing percentages must sum to 100%")</f>
        <v>✓ OK — financing mix sums to 100%</v>
      </c>
      <c r="E31" s="50"/>
      <c r="F31" s="50"/>
      <c r="G31" s="51"/>
      <c r="H31" s="5"/>
    </row>
    <row r="32" spans="2:8" x14ac:dyDescent="0.4">
      <c r="B32" s="9" t="s">
        <v>27</v>
      </c>
      <c r="C32" s="10">
        <v>7.0000000000000007E-2</v>
      </c>
      <c r="D32" s="43"/>
      <c r="E32" s="44"/>
      <c r="F32" s="44"/>
      <c r="G32" s="45"/>
      <c r="H32" s="5"/>
    </row>
    <row r="33" spans="2:8" x14ac:dyDescent="0.4">
      <c r="B33" s="9" t="s">
        <v>28</v>
      </c>
      <c r="C33" s="13">
        <v>80</v>
      </c>
      <c r="D33" s="43"/>
      <c r="E33" s="44"/>
      <c r="F33" s="44"/>
      <c r="G33" s="45"/>
      <c r="H33" s="5"/>
    </row>
    <row r="34" spans="2:8" x14ac:dyDescent="0.4">
      <c r="B34" s="9" t="s">
        <v>29</v>
      </c>
      <c r="C34" s="13">
        <v>90</v>
      </c>
      <c r="D34" s="43"/>
      <c r="E34" s="44"/>
      <c r="F34" s="44"/>
      <c r="G34" s="45"/>
      <c r="H34" s="5"/>
    </row>
    <row r="35" spans="2:8" x14ac:dyDescent="0.4">
      <c r="B35" s="9" t="s">
        <v>30</v>
      </c>
      <c r="C35" s="14">
        <v>0.3</v>
      </c>
      <c r="D35" s="43"/>
      <c r="E35" s="44"/>
      <c r="F35" s="44"/>
      <c r="G35" s="45"/>
      <c r="H35" s="5"/>
    </row>
    <row r="36" spans="2:8" x14ac:dyDescent="0.4">
      <c r="B36" s="9" t="s">
        <v>31</v>
      </c>
      <c r="C36" s="15">
        <v>60</v>
      </c>
      <c r="D36" s="46" t="s">
        <v>32</v>
      </c>
      <c r="E36" s="47"/>
      <c r="F36" s="47"/>
      <c r="G36" s="48"/>
      <c r="H36" s="5"/>
    </row>
    <row r="37" spans="2:8" x14ac:dyDescent="0.4">
      <c r="B37" s="9" t="s">
        <v>33</v>
      </c>
      <c r="C37" s="15">
        <v>45</v>
      </c>
      <c r="D37" s="16" t="s">
        <v>34</v>
      </c>
      <c r="E37" s="11"/>
      <c r="F37" s="11"/>
      <c r="G37" s="11"/>
      <c r="H37" s="5"/>
    </row>
    <row r="38" spans="2:8" x14ac:dyDescent="0.4">
      <c r="B38" s="9" t="s">
        <v>35</v>
      </c>
      <c r="C38" s="14">
        <v>0.5</v>
      </c>
      <c r="D38" s="43"/>
      <c r="E38" s="44"/>
      <c r="F38" s="44"/>
      <c r="G38" s="45"/>
      <c r="H38" s="5"/>
    </row>
    <row r="39" spans="2:8" x14ac:dyDescent="0.4">
      <c r="B39" s="9" t="s">
        <v>36</v>
      </c>
      <c r="C39" s="14">
        <v>0.8</v>
      </c>
      <c r="D39" s="43"/>
      <c r="E39" s="44"/>
      <c r="F39" s="44"/>
      <c r="G39" s="45"/>
      <c r="H39" s="5"/>
    </row>
    <row r="40" spans="2:8" x14ac:dyDescent="0.4">
      <c r="B40" s="9" t="s">
        <v>37</v>
      </c>
      <c r="C40" s="14">
        <v>1</v>
      </c>
      <c r="D40" s="43"/>
      <c r="E40" s="44"/>
      <c r="F40" s="44"/>
      <c r="G40" s="45"/>
      <c r="H40" s="5"/>
    </row>
    <row r="41" spans="2:8" ht="28.2" customHeight="1" x14ac:dyDescent="0.4">
      <c r="B41" s="35" t="s">
        <v>38</v>
      </c>
      <c r="C41" s="35"/>
      <c r="D41" s="1"/>
      <c r="E41" s="1"/>
      <c r="F41" s="1"/>
      <c r="G41" s="1"/>
      <c r="H41" s="5"/>
    </row>
    <row r="42" spans="2:8" x14ac:dyDescent="0.4">
      <c r="B42" s="21" t="s">
        <v>39</v>
      </c>
      <c r="C42" s="7"/>
      <c r="D42" s="7"/>
      <c r="E42" s="7"/>
      <c r="F42" s="7"/>
      <c r="G42" s="7"/>
      <c r="H42" s="5"/>
    </row>
    <row r="43" spans="2:8" x14ac:dyDescent="0.4">
      <c r="B43" s="8" t="s">
        <v>40</v>
      </c>
      <c r="C43" s="7"/>
      <c r="D43" s="7"/>
      <c r="E43" s="7"/>
      <c r="F43" s="7"/>
      <c r="G43" s="7"/>
      <c r="H43" s="5"/>
    </row>
    <row r="44" spans="2:8" x14ac:dyDescent="0.4">
      <c r="B44" s="21" t="s">
        <v>41</v>
      </c>
      <c r="C44" s="7"/>
      <c r="D44" s="7"/>
      <c r="E44" s="7"/>
      <c r="F44" s="7"/>
      <c r="G44" s="7"/>
      <c r="H44" s="5"/>
    </row>
    <row r="45" spans="2:8" x14ac:dyDescent="0.4">
      <c r="B45" s="8" t="s">
        <v>42</v>
      </c>
      <c r="C45" s="7"/>
      <c r="D45" s="7"/>
      <c r="E45" s="7"/>
      <c r="F45" s="7"/>
      <c r="G45" s="7"/>
      <c r="H45" s="5"/>
    </row>
    <row r="46" spans="2:8" x14ac:dyDescent="0.4">
      <c r="B46" s="21" t="s">
        <v>43</v>
      </c>
      <c r="C46" s="7"/>
      <c r="D46" s="7"/>
      <c r="E46" s="7"/>
      <c r="F46" s="7"/>
      <c r="G46" s="7"/>
      <c r="H46" s="5"/>
    </row>
    <row r="47" spans="2:8" x14ac:dyDescent="0.4">
      <c r="B47" s="8" t="s">
        <v>44</v>
      </c>
      <c r="C47" s="7"/>
      <c r="D47" s="7"/>
      <c r="E47" s="7"/>
      <c r="F47" s="7"/>
      <c r="G47" s="7"/>
      <c r="H47" s="5"/>
    </row>
    <row r="48" spans="2:8" x14ac:dyDescent="0.4">
      <c r="B48" s="8" t="s">
        <v>45</v>
      </c>
      <c r="C48" s="7"/>
      <c r="D48" s="7"/>
      <c r="E48" s="7"/>
      <c r="F48" s="7"/>
      <c r="G48" s="7"/>
      <c r="H48" s="5"/>
    </row>
    <row r="49" spans="2:8" x14ac:dyDescent="0.4">
      <c r="B49" s="21" t="s">
        <v>46</v>
      </c>
      <c r="C49" s="7"/>
      <c r="D49" s="7"/>
      <c r="E49" s="7"/>
      <c r="F49" s="7"/>
      <c r="G49" s="7"/>
      <c r="H49" s="5"/>
    </row>
    <row r="50" spans="2:8" x14ac:dyDescent="0.4">
      <c r="B50" s="8" t="s">
        <v>47</v>
      </c>
      <c r="C50" s="7"/>
      <c r="D50" s="7"/>
      <c r="E50" s="7"/>
      <c r="F50" s="7"/>
      <c r="G50" s="7"/>
      <c r="H50" s="5"/>
    </row>
    <row r="51" spans="2:8" x14ac:dyDescent="0.4">
      <c r="B51" s="8" t="s">
        <v>48</v>
      </c>
      <c r="C51" s="7"/>
      <c r="D51" s="7"/>
      <c r="E51" s="7"/>
      <c r="F51" s="7"/>
      <c r="G51" s="7"/>
      <c r="H51" s="5"/>
    </row>
    <row r="52" spans="2:8" x14ac:dyDescent="0.4">
      <c r="B52" s="21" t="s">
        <v>49</v>
      </c>
      <c r="C52" s="7"/>
      <c r="D52" s="7"/>
      <c r="E52" s="7"/>
      <c r="F52" s="7"/>
      <c r="G52" s="7"/>
      <c r="H52" s="5"/>
    </row>
    <row r="53" spans="2:8" x14ac:dyDescent="0.4">
      <c r="B53" s="8" t="s">
        <v>50</v>
      </c>
      <c r="C53" s="7"/>
      <c r="D53" s="7"/>
      <c r="E53" s="7"/>
      <c r="F53" s="7"/>
      <c r="G53" s="7"/>
      <c r="H53" s="5"/>
    </row>
    <row r="54" spans="2:8" x14ac:dyDescent="0.4">
      <c r="B54" s="8" t="s">
        <v>51</v>
      </c>
      <c r="C54" s="7"/>
      <c r="D54" s="7"/>
      <c r="E54" s="7"/>
      <c r="F54" s="7"/>
      <c r="G54" s="7"/>
      <c r="H54" s="5"/>
    </row>
    <row r="55" spans="2:8" x14ac:dyDescent="0.4">
      <c r="B55" s="21" t="s">
        <v>52</v>
      </c>
      <c r="C55" s="7"/>
      <c r="D55" s="7"/>
      <c r="E55" s="7"/>
      <c r="F55" s="7"/>
      <c r="G55" s="7"/>
      <c r="H55" s="5"/>
    </row>
    <row r="56" spans="2:8" x14ac:dyDescent="0.4">
      <c r="B56" s="5"/>
      <c r="C56" s="5"/>
      <c r="D56" s="5"/>
      <c r="E56" s="5"/>
      <c r="F56" s="5"/>
      <c r="G56" s="5"/>
      <c r="H56" s="5"/>
    </row>
    <row r="57" spans="2:8" x14ac:dyDescent="0.4">
      <c r="B57" s="5"/>
      <c r="C57" s="5"/>
      <c r="D57" s="5"/>
      <c r="E57" s="5"/>
      <c r="F57" s="5"/>
      <c r="G57" s="5"/>
      <c r="H57" s="5"/>
    </row>
  </sheetData>
  <mergeCells count="40">
    <mergeCell ref="B3:C3"/>
    <mergeCell ref="B15:C15"/>
    <mergeCell ref="C1:G1"/>
    <mergeCell ref="B2:G2"/>
    <mergeCell ref="D16:G16"/>
    <mergeCell ref="D4:G4"/>
    <mergeCell ref="D5:G5"/>
    <mergeCell ref="D27:G27"/>
    <mergeCell ref="D28:G28"/>
    <mergeCell ref="D29:G29"/>
    <mergeCell ref="B26:C26"/>
    <mergeCell ref="B41:C41"/>
    <mergeCell ref="D31:G31"/>
    <mergeCell ref="D36:G36"/>
    <mergeCell ref="D32:G32"/>
    <mergeCell ref="D33:G33"/>
    <mergeCell ref="D34:G34"/>
    <mergeCell ref="D35:G35"/>
    <mergeCell ref="D38:G38"/>
    <mergeCell ref="D39:G39"/>
    <mergeCell ref="D40:G40"/>
    <mergeCell ref="D30:G30"/>
    <mergeCell ref="D11:G11"/>
    <mergeCell ref="D23:G23"/>
    <mergeCell ref="D24:G24"/>
    <mergeCell ref="D25:G25"/>
    <mergeCell ref="D13:G13"/>
    <mergeCell ref="D14:G14"/>
    <mergeCell ref="D12:G12"/>
    <mergeCell ref="D17:G17"/>
    <mergeCell ref="D18:G18"/>
    <mergeCell ref="D19:G19"/>
    <mergeCell ref="D20:G20"/>
    <mergeCell ref="D21:G21"/>
    <mergeCell ref="D22:G22"/>
    <mergeCell ref="D6:G6"/>
    <mergeCell ref="D7:G7"/>
    <mergeCell ref="D8:G8"/>
    <mergeCell ref="D9:G9"/>
    <mergeCell ref="D10:G10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1"/>
  <sheetViews>
    <sheetView zoomScaleNormal="100" workbookViewId="0">
      <selection activeCell="C19" sqref="C19:G19"/>
    </sheetView>
  </sheetViews>
  <sheetFormatPr defaultColWidth="8.6640625" defaultRowHeight="16.8" x14ac:dyDescent="0.4"/>
  <cols>
    <col min="1" max="1" width="8.6640625" style="29"/>
    <col min="2" max="2" width="57.109375" style="24" customWidth="1"/>
    <col min="3" max="3" width="16" style="24" customWidth="1"/>
    <col min="4" max="4" width="4" style="24" customWidth="1"/>
    <col min="5" max="7" width="13" style="24" customWidth="1"/>
    <col min="8" max="16384" width="8.6640625" style="29"/>
  </cols>
  <sheetData>
    <row r="1" spans="1:8" ht="68.400000000000006" customHeight="1" x14ac:dyDescent="0.55000000000000004">
      <c r="A1" s="3"/>
      <c r="B1" s="2"/>
      <c r="C1" s="54" t="s">
        <v>53</v>
      </c>
      <c r="D1" s="54"/>
      <c r="E1" s="54"/>
      <c r="F1" s="54"/>
      <c r="G1" s="54"/>
      <c r="H1" s="3"/>
    </row>
    <row r="2" spans="1:8" x14ac:dyDescent="0.4">
      <c r="A2" s="3"/>
      <c r="B2" s="5"/>
      <c r="C2" s="5"/>
      <c r="D2" s="5"/>
      <c r="E2" s="5"/>
      <c r="F2" s="5"/>
      <c r="G2" s="5"/>
      <c r="H2" s="3"/>
    </row>
    <row r="3" spans="1:8" x14ac:dyDescent="0.4">
      <c r="A3" s="3"/>
      <c r="H3" s="3"/>
    </row>
    <row r="4" spans="1:8" ht="25.8" customHeight="1" x14ac:dyDescent="0.4">
      <c r="A4" s="3"/>
      <c r="B4" s="6" t="s">
        <v>54</v>
      </c>
      <c r="C4" s="1"/>
      <c r="D4" s="1"/>
      <c r="E4" s="1"/>
      <c r="F4" s="1"/>
      <c r="G4" s="1"/>
      <c r="H4" s="25"/>
    </row>
    <row r="5" spans="1:8" ht="16.8" customHeight="1" x14ac:dyDescent="0.4">
      <c r="A5" s="3"/>
      <c r="B5" s="91" t="s">
        <v>55</v>
      </c>
      <c r="C5" s="101">
        <f>'Deal Inputs'!C10/'Deal Inputs'!C6</f>
        <v>2.1363636363636362</v>
      </c>
      <c r="D5" s="101"/>
      <c r="E5" s="101"/>
      <c r="F5" s="101"/>
      <c r="G5" s="101"/>
      <c r="H5" s="3"/>
    </row>
    <row r="6" spans="1:8" ht="16.8" customHeight="1" x14ac:dyDescent="0.4">
      <c r="A6" s="3"/>
      <c r="B6" s="91" t="s">
        <v>56</v>
      </c>
      <c r="C6" s="101">
        <f>'Deal Inputs'!C22/'Deal Inputs'!C18</f>
        <v>1.8105263157894738</v>
      </c>
      <c r="D6" s="101"/>
      <c r="E6" s="101"/>
      <c r="F6" s="101"/>
      <c r="G6" s="101"/>
      <c r="H6" s="3"/>
    </row>
    <row r="7" spans="1:8" ht="16.8" customHeight="1" x14ac:dyDescent="0.4">
      <c r="A7" s="3"/>
      <c r="B7" s="91" t="s">
        <v>57</v>
      </c>
      <c r="C7" s="102">
        <f>'Deal Inputs'!C5*'Deal Inputs'!C6</f>
        <v>9900</v>
      </c>
      <c r="D7" s="102"/>
      <c r="E7" s="102"/>
      <c r="F7" s="102"/>
      <c r="G7" s="102"/>
      <c r="H7" s="3"/>
    </row>
    <row r="8" spans="1:8" ht="16.8" customHeight="1" x14ac:dyDescent="0.4">
      <c r="A8" s="3"/>
      <c r="B8" s="91" t="s">
        <v>58</v>
      </c>
      <c r="C8" s="102">
        <f>C7+'Deal Inputs'!C12-'Deal Inputs'!C11</f>
        <v>10650</v>
      </c>
      <c r="D8" s="102"/>
      <c r="E8" s="102"/>
      <c r="F8" s="102"/>
      <c r="G8" s="102"/>
      <c r="H8" s="3"/>
    </row>
    <row r="9" spans="1:8" ht="16.8" customHeight="1" x14ac:dyDescent="0.4">
      <c r="A9" s="3"/>
      <c r="B9" s="91" t="s">
        <v>59</v>
      </c>
      <c r="C9" s="102">
        <f>'Deal Inputs'!C17*'Deal Inputs'!C18</f>
        <v>2660</v>
      </c>
      <c r="D9" s="102"/>
      <c r="E9" s="102"/>
      <c r="F9" s="102"/>
      <c r="G9" s="102"/>
      <c r="H9" s="3"/>
    </row>
    <row r="10" spans="1:8" ht="16.8" customHeight="1" x14ac:dyDescent="0.4">
      <c r="A10" s="3"/>
      <c r="B10" s="91" t="s">
        <v>60</v>
      </c>
      <c r="C10" s="102">
        <f>C9+'Deal Inputs'!C24-'Deal Inputs'!C23</f>
        <v>2930</v>
      </c>
      <c r="D10" s="102"/>
      <c r="E10" s="102"/>
      <c r="F10" s="102"/>
      <c r="G10" s="102"/>
      <c r="H10" s="3"/>
    </row>
    <row r="11" spans="1:8" ht="16.8" customHeight="1" x14ac:dyDescent="0.4">
      <c r="A11" s="3"/>
      <c r="B11" s="91" t="s">
        <v>61</v>
      </c>
      <c r="C11" s="103">
        <f>C10/'Deal Inputs'!C19</f>
        <v>1.7757575757575759</v>
      </c>
      <c r="D11" s="103"/>
      <c r="E11" s="103"/>
      <c r="F11" s="103"/>
      <c r="G11" s="103"/>
      <c r="H11" s="3"/>
    </row>
    <row r="12" spans="1:8" ht="16.8" customHeight="1" x14ac:dyDescent="0.4">
      <c r="A12" s="3"/>
      <c r="B12" s="91" t="s">
        <v>62</v>
      </c>
      <c r="C12" s="103">
        <f>C10/'Deal Inputs'!C20</f>
        <v>8.617647058823529</v>
      </c>
      <c r="D12" s="103"/>
      <c r="E12" s="103"/>
      <c r="F12" s="103"/>
      <c r="G12" s="103"/>
      <c r="H12" s="3"/>
    </row>
    <row r="13" spans="1:8" ht="24.6" customHeight="1" x14ac:dyDescent="0.4">
      <c r="A13" s="3"/>
      <c r="B13" s="6" t="s">
        <v>63</v>
      </c>
      <c r="C13" s="1"/>
      <c r="D13" s="1"/>
      <c r="E13" s="1"/>
      <c r="F13" s="1"/>
      <c r="G13" s="1"/>
      <c r="H13" s="3"/>
    </row>
    <row r="14" spans="1:8" ht="16.8" customHeight="1" x14ac:dyDescent="0.4">
      <c r="A14" s="3"/>
      <c r="B14" s="91" t="s">
        <v>64</v>
      </c>
      <c r="C14" s="101">
        <f>'Deal Inputs'!C17*(1+'Deal Inputs'!C27)</f>
        <v>39.199999999999996</v>
      </c>
      <c r="D14" s="101"/>
      <c r="E14" s="101"/>
      <c r="F14" s="101"/>
      <c r="G14" s="101"/>
      <c r="H14" s="3"/>
    </row>
    <row r="15" spans="1:8" ht="16.8" customHeight="1" x14ac:dyDescent="0.4">
      <c r="A15" s="3"/>
      <c r="B15" s="91" t="s">
        <v>65</v>
      </c>
      <c r="C15" s="102">
        <f>C14*'Deal Inputs'!C18</f>
        <v>3723.9999999999995</v>
      </c>
      <c r="D15" s="102"/>
      <c r="E15" s="102"/>
      <c r="F15" s="102"/>
      <c r="G15" s="102"/>
      <c r="H15" s="3"/>
    </row>
    <row r="16" spans="1:8" ht="16.8" customHeight="1" x14ac:dyDescent="0.4">
      <c r="A16" s="3"/>
      <c r="B16" s="91" t="s">
        <v>66</v>
      </c>
      <c r="C16" s="102">
        <f>'Deal Inputs'!C24-'Deal Inputs'!C23</f>
        <v>270</v>
      </c>
      <c r="D16" s="102"/>
      <c r="E16" s="102"/>
      <c r="F16" s="102"/>
      <c r="G16" s="102"/>
      <c r="H16" s="3"/>
    </row>
    <row r="17" spans="1:8" ht="16.8" customHeight="1" x14ac:dyDescent="0.4">
      <c r="A17" s="3"/>
      <c r="B17" s="91" t="s">
        <v>67</v>
      </c>
      <c r="C17" s="102">
        <f>C15+C16</f>
        <v>3993.9999999999995</v>
      </c>
      <c r="D17" s="102"/>
      <c r="E17" s="102"/>
      <c r="F17" s="102"/>
      <c r="G17" s="102"/>
      <c r="H17" s="3"/>
    </row>
    <row r="18" spans="1:8" ht="16.8" customHeight="1" x14ac:dyDescent="0.4">
      <c r="A18" s="3"/>
      <c r="B18" s="91" t="s">
        <v>68</v>
      </c>
      <c r="C18" s="103">
        <f>C17/'Deal Inputs'!C19</f>
        <v>2.4206060606060604</v>
      </c>
      <c r="D18" s="103"/>
      <c r="E18" s="103"/>
      <c r="F18" s="103"/>
      <c r="G18" s="103"/>
      <c r="H18" s="3"/>
    </row>
    <row r="19" spans="1:8" ht="16.8" customHeight="1" x14ac:dyDescent="0.4">
      <c r="A19" s="3"/>
      <c r="B19" s="91" t="s">
        <v>69</v>
      </c>
      <c r="C19" s="103">
        <f>C17/'Deal Inputs'!C20</f>
        <v>11.747058823529411</v>
      </c>
      <c r="D19" s="103"/>
      <c r="E19" s="103"/>
      <c r="F19" s="103"/>
      <c r="G19" s="103"/>
      <c r="H19" s="3"/>
    </row>
    <row r="20" spans="1:8" ht="16.8" customHeight="1" x14ac:dyDescent="0.4">
      <c r="A20" s="3"/>
      <c r="B20" s="9" t="s">
        <v>70</v>
      </c>
      <c r="C20" s="73">
        <f>C15-C9</f>
        <v>1063.9999999999995</v>
      </c>
      <c r="D20" s="73"/>
      <c r="E20" s="73"/>
      <c r="F20" s="73"/>
      <c r="G20" s="73"/>
      <c r="H20" s="3"/>
    </row>
    <row r="21" spans="1:8" ht="22.8" customHeight="1" x14ac:dyDescent="0.4">
      <c r="A21" s="3"/>
      <c r="B21" s="104" t="s">
        <v>71</v>
      </c>
      <c r="C21" s="105"/>
      <c r="D21" s="105"/>
      <c r="E21" s="105"/>
      <c r="F21" s="105"/>
      <c r="G21" s="105"/>
      <c r="H21" s="3"/>
    </row>
    <row r="22" spans="1:8" ht="16.8" customHeight="1" x14ac:dyDescent="0.4">
      <c r="A22" s="3"/>
      <c r="B22" s="91" t="s">
        <v>72</v>
      </c>
      <c r="C22" s="106">
        <f>'Deal Inputs'!C28*$C$15</f>
        <v>744.8</v>
      </c>
      <c r="D22" s="107"/>
      <c r="E22" s="107"/>
      <c r="F22" s="107"/>
      <c r="G22" s="108"/>
      <c r="H22" s="3"/>
    </row>
    <row r="23" spans="1:8" ht="16.8" customHeight="1" x14ac:dyDescent="0.4">
      <c r="A23" s="3"/>
      <c r="B23" s="91" t="s">
        <v>73</v>
      </c>
      <c r="C23" s="106">
        <f>'Deal Inputs'!C29*$C$15</f>
        <v>1303.3999999999999</v>
      </c>
      <c r="D23" s="107"/>
      <c r="E23" s="107"/>
      <c r="F23" s="107"/>
      <c r="G23" s="108"/>
      <c r="H23" s="3"/>
    </row>
    <row r="24" spans="1:8" ht="16.8" customHeight="1" x14ac:dyDescent="0.4">
      <c r="A24" s="3"/>
      <c r="B24" s="91" t="s">
        <v>74</v>
      </c>
      <c r="C24" s="106">
        <f>'Deal Inputs'!C30*$C$15</f>
        <v>1675.7999999999997</v>
      </c>
      <c r="D24" s="107"/>
      <c r="E24" s="107"/>
      <c r="F24" s="107"/>
      <c r="G24" s="108"/>
      <c r="H24" s="3"/>
    </row>
    <row r="25" spans="1:8" ht="16.8" customHeight="1" x14ac:dyDescent="0.4">
      <c r="A25" s="3"/>
      <c r="B25" s="92" t="s">
        <v>75</v>
      </c>
      <c r="C25" s="106">
        <f>SUM(C22:C24)</f>
        <v>3723.9999999999995</v>
      </c>
      <c r="D25" s="107"/>
      <c r="E25" s="107"/>
      <c r="F25" s="107"/>
      <c r="G25" s="108"/>
      <c r="H25" s="3"/>
    </row>
    <row r="26" spans="1:8" ht="16.8" customHeight="1" x14ac:dyDescent="0.4">
      <c r="A26" s="3"/>
      <c r="B26" s="92" t="s">
        <v>76</v>
      </c>
      <c r="C26" s="106">
        <f>C15</f>
        <v>3723.9999999999995</v>
      </c>
      <c r="D26" s="107"/>
      <c r="E26" s="107"/>
      <c r="F26" s="107"/>
      <c r="G26" s="108"/>
      <c r="H26" s="3"/>
    </row>
    <row r="27" spans="1:8" ht="16.8" customHeight="1" x14ac:dyDescent="0.4">
      <c r="A27" s="3"/>
      <c r="B27" s="91" t="s">
        <v>77</v>
      </c>
      <c r="C27" s="109">
        <f>C24/'Deal Inputs'!C5</f>
        <v>37.239999999999995</v>
      </c>
      <c r="D27" s="110"/>
      <c r="E27" s="110"/>
      <c r="F27" s="110"/>
      <c r="G27" s="111"/>
      <c r="H27" s="3"/>
    </row>
    <row r="28" spans="1:8" ht="16.8" customHeight="1" x14ac:dyDescent="0.4">
      <c r="A28" s="3"/>
      <c r="B28" s="91" t="s">
        <v>78</v>
      </c>
      <c r="C28" s="112">
        <f>C14/'Deal Inputs'!C5</f>
        <v>0.87111111111111106</v>
      </c>
      <c r="D28" s="113"/>
      <c r="E28" s="113"/>
      <c r="F28" s="113"/>
      <c r="G28" s="114"/>
      <c r="H28" s="3"/>
    </row>
    <row r="29" spans="1:8" ht="16.8" customHeight="1" x14ac:dyDescent="0.4">
      <c r="A29" s="3"/>
      <c r="B29" s="91" t="s">
        <v>79</v>
      </c>
      <c r="C29" s="109">
        <f>'Deal Inputs'!C6+C27</f>
        <v>257.24</v>
      </c>
      <c r="D29" s="110"/>
      <c r="E29" s="110"/>
      <c r="F29" s="110"/>
      <c r="G29" s="111"/>
      <c r="H29" s="3"/>
    </row>
    <row r="30" spans="1:8" ht="16.8" customHeight="1" x14ac:dyDescent="0.4">
      <c r="A30" s="3"/>
      <c r="B30" s="91" t="s">
        <v>80</v>
      </c>
      <c r="C30" s="115">
        <f>C23*'Deal Inputs'!C32</f>
        <v>91.238</v>
      </c>
      <c r="D30" s="116"/>
      <c r="E30" s="116"/>
      <c r="F30" s="116"/>
      <c r="G30" s="117"/>
      <c r="H30" s="3"/>
    </row>
    <row r="31" spans="1:8" ht="16.8" customHeight="1" x14ac:dyDescent="0.4">
      <c r="A31" s="3"/>
      <c r="B31" s="91" t="s">
        <v>81</v>
      </c>
      <c r="C31" s="115">
        <f>(C22+'Deal Inputs'!C37)*'Deal Inputs'!C13</f>
        <v>27.643000000000001</v>
      </c>
      <c r="D31" s="116"/>
      <c r="E31" s="116"/>
      <c r="F31" s="116"/>
      <c r="G31" s="117"/>
      <c r="H31" s="3"/>
    </row>
    <row r="32" spans="1:8" ht="22.8" customHeight="1" x14ac:dyDescent="0.3">
      <c r="A32" s="3"/>
      <c r="B32" s="57" t="s">
        <v>82</v>
      </c>
      <c r="C32" s="60" t="s">
        <v>83</v>
      </c>
      <c r="D32" s="61"/>
      <c r="E32" s="57" t="s">
        <v>84</v>
      </c>
      <c r="F32" s="57" t="s">
        <v>85</v>
      </c>
      <c r="G32" s="57" t="s">
        <v>86</v>
      </c>
      <c r="H32" s="3"/>
    </row>
    <row r="33" spans="1:8" x14ac:dyDescent="0.4">
      <c r="A33" s="3"/>
      <c r="B33" s="91" t="s">
        <v>87</v>
      </c>
      <c r="C33" s="62">
        <f>'Deal Inputs'!C33</f>
        <v>80</v>
      </c>
      <c r="D33" s="63"/>
      <c r="E33" s="11"/>
      <c r="F33" s="11"/>
      <c r="G33" s="11"/>
      <c r="H33" s="3"/>
    </row>
    <row r="34" spans="1:8" x14ac:dyDescent="0.4">
      <c r="A34" s="3"/>
      <c r="B34" s="91" t="s">
        <v>88</v>
      </c>
      <c r="C34" s="62">
        <f>'Deal Inputs'!C34</f>
        <v>90</v>
      </c>
      <c r="D34" s="63"/>
      <c r="E34" s="11"/>
      <c r="F34" s="11"/>
      <c r="G34" s="11"/>
      <c r="H34" s="3"/>
    </row>
    <row r="35" spans="1:8" x14ac:dyDescent="0.4">
      <c r="A35" s="3"/>
      <c r="B35" s="91" t="s">
        <v>89</v>
      </c>
      <c r="C35" s="64">
        <f>C34*'Deal Inputs'!C35</f>
        <v>27</v>
      </c>
      <c r="D35" s="65"/>
      <c r="E35" s="11"/>
      <c r="F35" s="11"/>
      <c r="G35" s="11"/>
      <c r="H35" s="3"/>
    </row>
    <row r="36" spans="1:8" x14ac:dyDescent="0.4">
      <c r="A36" s="3"/>
      <c r="B36" s="92" t="s">
        <v>90</v>
      </c>
      <c r="C36" s="66">
        <f>C33+C35</f>
        <v>107</v>
      </c>
      <c r="D36" s="67"/>
      <c r="E36" s="11"/>
      <c r="F36" s="11"/>
      <c r="G36" s="11"/>
      <c r="H36" s="3"/>
    </row>
    <row r="37" spans="1:8" x14ac:dyDescent="0.4">
      <c r="A37" s="3"/>
      <c r="B37" s="91" t="s">
        <v>91</v>
      </c>
      <c r="C37" s="68">
        <f>C36*(1-'Deal Inputs'!$C$14)</f>
        <v>80.25</v>
      </c>
      <c r="D37" s="69"/>
      <c r="E37" s="11"/>
      <c r="F37" s="11"/>
      <c r="G37" s="11"/>
      <c r="H37" s="3"/>
    </row>
    <row r="38" spans="1:8" x14ac:dyDescent="0.4">
      <c r="A38" s="3"/>
      <c r="B38" s="91" t="s">
        <v>92</v>
      </c>
      <c r="C38" s="43"/>
      <c r="D38" s="45"/>
      <c r="E38" s="59">
        <f>'Deal Inputs'!C38</f>
        <v>0.5</v>
      </c>
      <c r="F38" s="59">
        <f>'Deal Inputs'!C39</f>
        <v>0.8</v>
      </c>
      <c r="G38" s="59">
        <f>'Deal Inputs'!C40</f>
        <v>1</v>
      </c>
      <c r="H38" s="3"/>
    </row>
    <row r="39" spans="1:8" x14ac:dyDescent="0.4">
      <c r="A39" s="3"/>
      <c r="B39" s="91" t="s">
        <v>93</v>
      </c>
      <c r="C39" s="43"/>
      <c r="D39" s="45"/>
      <c r="E39" s="58">
        <f>$C$36*E38</f>
        <v>53.5</v>
      </c>
      <c r="F39" s="58">
        <f>$C$36*F38</f>
        <v>85.600000000000009</v>
      </c>
      <c r="G39" s="58">
        <f>$C$36*G38</f>
        <v>107</v>
      </c>
      <c r="H39" s="3"/>
    </row>
    <row r="40" spans="1:8" x14ac:dyDescent="0.4">
      <c r="A40" s="3"/>
      <c r="B40" s="91" t="s">
        <v>94</v>
      </c>
      <c r="C40" s="43"/>
      <c r="D40" s="45"/>
      <c r="E40" s="55">
        <f>E39*(1-'Deal Inputs'!$C$14)</f>
        <v>40.125</v>
      </c>
      <c r="F40" s="55">
        <f>F39*(1-'Deal Inputs'!$C$14)</f>
        <v>64.2</v>
      </c>
      <c r="G40" s="55">
        <f>G39*(1-'Deal Inputs'!$C$14)</f>
        <v>80.25</v>
      </c>
      <c r="H40" s="3"/>
    </row>
    <row r="41" spans="1:8" ht="22.2" customHeight="1" x14ac:dyDescent="0.4">
      <c r="A41" s="3"/>
      <c r="B41" s="6" t="s">
        <v>95</v>
      </c>
      <c r="C41" s="1"/>
      <c r="D41" s="1"/>
      <c r="E41" s="6" t="s">
        <v>84</v>
      </c>
      <c r="F41" s="6" t="s">
        <v>85</v>
      </c>
      <c r="G41" s="6" t="s">
        <v>86</v>
      </c>
      <c r="H41" s="3"/>
    </row>
    <row r="42" spans="1:8" ht="16.8" customHeight="1" x14ac:dyDescent="0.4">
      <c r="A42" s="3"/>
      <c r="B42" s="126" t="s">
        <v>166</v>
      </c>
      <c r="C42" s="127"/>
      <c r="D42" s="128"/>
      <c r="E42" s="56">
        <f>'Deal Inputs'!$C$10</f>
        <v>470</v>
      </c>
      <c r="F42" s="56">
        <f>'Deal Inputs'!$C$10</f>
        <v>470</v>
      </c>
      <c r="G42" s="56">
        <f>'Deal Inputs'!$C$10</f>
        <v>470</v>
      </c>
      <c r="H42" s="3"/>
    </row>
    <row r="43" spans="1:8" ht="16.8" customHeight="1" x14ac:dyDescent="0.4">
      <c r="A43" s="3"/>
      <c r="B43" s="118" t="s">
        <v>167</v>
      </c>
      <c r="C43" s="119"/>
      <c r="D43" s="120"/>
      <c r="E43" s="56">
        <f>'Deal Inputs'!$C$22</f>
        <v>172</v>
      </c>
      <c r="F43" s="56">
        <f>'Deal Inputs'!$C$22</f>
        <v>172</v>
      </c>
      <c r="G43" s="56">
        <f>'Deal Inputs'!$C$22</f>
        <v>172</v>
      </c>
      <c r="H43" s="3"/>
    </row>
    <row r="44" spans="1:8" ht="16.8" customHeight="1" x14ac:dyDescent="0.4">
      <c r="A44" s="3"/>
      <c r="B44" s="118" t="s">
        <v>168</v>
      </c>
      <c r="C44" s="119"/>
      <c r="D44" s="120"/>
      <c r="E44" s="121">
        <f>E40</f>
        <v>40.125</v>
      </c>
      <c r="F44" s="121">
        <f>F40</f>
        <v>64.2</v>
      </c>
      <c r="G44" s="121">
        <f>G40</f>
        <v>80.25</v>
      </c>
      <c r="H44" s="3"/>
    </row>
    <row r="45" spans="1:8" ht="16.8" customHeight="1" x14ac:dyDescent="0.4">
      <c r="A45" s="3"/>
      <c r="B45" s="118" t="s">
        <v>169</v>
      </c>
      <c r="C45" s="119"/>
      <c r="D45" s="120"/>
      <c r="E45" s="121">
        <f>-$C$30*(1-'Deal Inputs'!$C$14)</f>
        <v>-68.4285</v>
      </c>
      <c r="F45" s="121">
        <f>-$C$30*(1-'Deal Inputs'!$C$14)</f>
        <v>-68.4285</v>
      </c>
      <c r="G45" s="121">
        <f>-$C$30*(1-'Deal Inputs'!$C$14)</f>
        <v>-68.4285</v>
      </c>
      <c r="H45" s="3"/>
    </row>
    <row r="46" spans="1:8" ht="16.8" customHeight="1" x14ac:dyDescent="0.4">
      <c r="A46" s="3"/>
      <c r="B46" s="118" t="s">
        <v>170</v>
      </c>
      <c r="C46" s="119"/>
      <c r="D46" s="120"/>
      <c r="E46" s="121">
        <f>-$C$31*(1-'Deal Inputs'!$C$14)</f>
        <v>-20.732250000000001</v>
      </c>
      <c r="F46" s="121">
        <f>-$C$31*(1-'Deal Inputs'!$C$14)</f>
        <v>-20.732250000000001</v>
      </c>
      <c r="G46" s="121">
        <f>-$C$31*(1-'Deal Inputs'!$C$14)</f>
        <v>-20.732250000000001</v>
      </c>
      <c r="H46" s="3"/>
    </row>
    <row r="47" spans="1:8" ht="16.8" customHeight="1" x14ac:dyDescent="0.4">
      <c r="A47" s="3"/>
      <c r="B47" s="118" t="s">
        <v>172</v>
      </c>
      <c r="C47" s="119"/>
      <c r="D47" s="120"/>
      <c r="E47" s="121">
        <f>-('Deal Inputs'!$C$36+'Deal Inputs'!$C$37)*(1-'Deal Inputs'!$C$14)</f>
        <v>-78.75</v>
      </c>
      <c r="F47" s="121">
        <v>0</v>
      </c>
      <c r="G47" s="121">
        <v>0</v>
      </c>
      <c r="H47" s="3"/>
    </row>
    <row r="48" spans="1:8" ht="16.8" customHeight="1" x14ac:dyDescent="0.4">
      <c r="A48" s="3"/>
      <c r="B48" s="122" t="s">
        <v>171</v>
      </c>
      <c r="C48" s="123"/>
      <c r="D48" s="124"/>
      <c r="E48" s="125">
        <f>SUM(E42:E47)</f>
        <v>514.21424999999999</v>
      </c>
      <c r="F48" s="125">
        <f>SUM(F42:F47)</f>
        <v>617.03925000000004</v>
      </c>
      <c r="G48" s="125">
        <f>SUM(G42:G47)</f>
        <v>633.08924999999999</v>
      </c>
      <c r="H48" s="3"/>
    </row>
    <row r="49" spans="1:8" ht="24.6" customHeight="1" x14ac:dyDescent="0.4">
      <c r="A49" s="3"/>
      <c r="B49" s="6" t="s">
        <v>96</v>
      </c>
      <c r="C49" s="1"/>
      <c r="D49" s="1"/>
      <c r="E49" s="6" t="s">
        <v>84</v>
      </c>
      <c r="F49" s="6" t="s">
        <v>85</v>
      </c>
      <c r="G49" s="6" t="s">
        <v>86</v>
      </c>
      <c r="H49" s="3"/>
    </row>
    <row r="50" spans="1:8" x14ac:dyDescent="0.4">
      <c r="A50" s="3"/>
      <c r="B50" s="91" t="s">
        <v>55</v>
      </c>
      <c r="C50" s="129">
        <f>$C$5</f>
        <v>2.1363636363636362</v>
      </c>
      <c r="D50" s="130"/>
      <c r="E50" s="97"/>
      <c r="F50" s="97"/>
      <c r="G50" s="97"/>
      <c r="H50" s="3"/>
    </row>
    <row r="51" spans="1:8" x14ac:dyDescent="0.4">
      <c r="A51" s="3"/>
      <c r="B51" s="91" t="s">
        <v>97</v>
      </c>
      <c r="C51" s="131"/>
      <c r="D51" s="132"/>
      <c r="E51" s="133">
        <f>E48/$C$29</f>
        <v>1.9989669180531797</v>
      </c>
      <c r="F51" s="133">
        <f>F48/$C$29</f>
        <v>2.3986909112113204</v>
      </c>
      <c r="G51" s="133">
        <f>G48/$C$29</f>
        <v>2.4610840071528535</v>
      </c>
      <c r="H51" s="3"/>
    </row>
    <row r="52" spans="1:8" ht="17.399999999999999" thickBot="1" x14ac:dyDescent="0.45">
      <c r="A52" s="3"/>
      <c r="B52" s="91" t="s">
        <v>98</v>
      </c>
      <c r="C52" s="131"/>
      <c r="D52" s="132"/>
      <c r="E52" s="134">
        <f>E51-$C$5</f>
        <v>-0.13739671831045652</v>
      </c>
      <c r="F52" s="134">
        <f>F51-$C$5</f>
        <v>0.26232727484768414</v>
      </c>
      <c r="G52" s="134">
        <f>G51-$C$5</f>
        <v>0.32472037078921723</v>
      </c>
      <c r="H52" s="3"/>
    </row>
    <row r="53" spans="1:8" ht="17.399999999999999" thickBot="1" x14ac:dyDescent="0.45">
      <c r="A53" s="3"/>
      <c r="B53" s="92" t="s">
        <v>99</v>
      </c>
      <c r="C53" s="43"/>
      <c r="D53" s="44"/>
      <c r="E53" s="70">
        <f>E51/$C$5-1</f>
        <v>-6.4313357507022162E-2</v>
      </c>
      <c r="F53" s="71">
        <f>F51/$C$5-1</f>
        <v>0.12279149035423509</v>
      </c>
      <c r="G53" s="72">
        <f>G51/$C$5-1</f>
        <v>0.15199676930559103</v>
      </c>
      <c r="H53" s="3"/>
    </row>
    <row r="54" spans="1:8" ht="23.4" customHeight="1" x14ac:dyDescent="0.4">
      <c r="A54" s="3"/>
      <c r="B54" s="6" t="s">
        <v>100</v>
      </c>
      <c r="C54" s="1"/>
      <c r="D54" s="1"/>
      <c r="E54" s="1"/>
      <c r="F54" s="1"/>
      <c r="G54" s="1"/>
      <c r="H54" s="3"/>
    </row>
    <row r="55" spans="1:8" ht="16.8" customHeight="1" x14ac:dyDescent="0.4">
      <c r="A55" s="3"/>
      <c r="B55" s="91" t="s">
        <v>101</v>
      </c>
      <c r="C55" s="106">
        <f>'Deal Inputs'!C12-'Deal Inputs'!C11</f>
        <v>750</v>
      </c>
      <c r="D55" s="107"/>
      <c r="E55" s="107"/>
      <c r="F55" s="107"/>
      <c r="G55" s="108"/>
      <c r="H55" s="3"/>
    </row>
    <row r="56" spans="1:8" ht="16.8" customHeight="1" x14ac:dyDescent="0.4">
      <c r="A56" s="3"/>
      <c r="B56" s="91" t="s">
        <v>102</v>
      </c>
      <c r="C56" s="112">
        <f>C55/'Deal Inputs'!C8</f>
        <v>0.78125</v>
      </c>
      <c r="D56" s="113"/>
      <c r="E56" s="113"/>
      <c r="F56" s="113"/>
      <c r="G56" s="114"/>
      <c r="H56" s="3"/>
    </row>
    <row r="57" spans="1:8" ht="16.8" customHeight="1" x14ac:dyDescent="0.4">
      <c r="A57" s="3"/>
      <c r="B57" s="91" t="s">
        <v>103</v>
      </c>
      <c r="C57" s="106">
        <f>'Deal Inputs'!C12+'Deal Inputs'!C24+C23</f>
        <v>3183.3999999999996</v>
      </c>
      <c r="D57" s="107"/>
      <c r="E57" s="107"/>
      <c r="F57" s="107"/>
      <c r="G57" s="108"/>
      <c r="H57" s="3"/>
    </row>
    <row r="58" spans="1:8" ht="16.8" customHeight="1" x14ac:dyDescent="0.4">
      <c r="A58" s="3"/>
      <c r="B58" s="91" t="s">
        <v>104</v>
      </c>
      <c r="C58" s="106">
        <f>'Deal Inputs'!C11+'Deal Inputs'!C23-C22-'Deal Inputs'!C37</f>
        <v>70.200000000000045</v>
      </c>
      <c r="D58" s="107"/>
      <c r="E58" s="107"/>
      <c r="F58" s="107"/>
      <c r="G58" s="108"/>
      <c r="H58" s="3"/>
    </row>
    <row r="59" spans="1:8" ht="16.8" customHeight="1" x14ac:dyDescent="0.4">
      <c r="A59" s="3"/>
      <c r="B59" s="92" t="s">
        <v>105</v>
      </c>
      <c r="C59" s="106">
        <f>C57-C58</f>
        <v>3113.2</v>
      </c>
      <c r="D59" s="107"/>
      <c r="E59" s="107"/>
      <c r="F59" s="107"/>
      <c r="G59" s="108"/>
      <c r="H59" s="3"/>
    </row>
    <row r="60" spans="1:8" ht="16.8" customHeight="1" x14ac:dyDescent="0.4">
      <c r="A60" s="3"/>
      <c r="B60" s="91" t="s">
        <v>106</v>
      </c>
      <c r="C60" s="106">
        <f>'Deal Inputs'!C8+'Deal Inputs'!C20</f>
        <v>1300</v>
      </c>
      <c r="D60" s="107"/>
      <c r="E60" s="107"/>
      <c r="F60" s="107"/>
      <c r="G60" s="108"/>
      <c r="H60" s="3"/>
    </row>
    <row r="61" spans="1:8" ht="16.8" customHeight="1" x14ac:dyDescent="0.4">
      <c r="A61" s="3"/>
      <c r="B61" s="91" t="s">
        <v>107</v>
      </c>
      <c r="C61" s="106">
        <f>C60+C36</f>
        <v>1407</v>
      </c>
      <c r="D61" s="107"/>
      <c r="E61" s="107"/>
      <c r="F61" s="107"/>
      <c r="G61" s="108"/>
      <c r="H61" s="3"/>
    </row>
    <row r="62" spans="1:8" ht="16.8" customHeight="1" x14ac:dyDescent="0.4">
      <c r="A62" s="3"/>
      <c r="B62" s="92" t="s">
        <v>108</v>
      </c>
      <c r="C62" s="135">
        <f>C59/C60</f>
        <v>2.3947692307692305</v>
      </c>
      <c r="D62" s="136"/>
      <c r="E62" s="136"/>
      <c r="F62" s="136"/>
      <c r="G62" s="137"/>
      <c r="H62" s="3"/>
    </row>
    <row r="63" spans="1:8" ht="16.8" customHeight="1" x14ac:dyDescent="0.4">
      <c r="A63" s="3"/>
      <c r="B63" s="91" t="s">
        <v>109</v>
      </c>
      <c r="C63" s="112">
        <f>C59/C61</f>
        <v>2.2126510305614784</v>
      </c>
      <c r="D63" s="113"/>
      <c r="E63" s="113"/>
      <c r="F63" s="113"/>
      <c r="G63" s="114"/>
      <c r="H63" s="3"/>
    </row>
    <row r="64" spans="1:8" ht="24.6" customHeight="1" x14ac:dyDescent="0.4">
      <c r="A64" s="3"/>
      <c r="B64" s="35" t="s">
        <v>110</v>
      </c>
      <c r="C64" s="35"/>
      <c r="D64" s="35"/>
      <c r="E64" s="35"/>
      <c r="F64" s="1"/>
      <c r="G64" s="1"/>
      <c r="H64" s="3"/>
    </row>
    <row r="65" spans="1:8" x14ac:dyDescent="0.4">
      <c r="A65" s="3"/>
      <c r="B65" s="91" t="s">
        <v>111</v>
      </c>
      <c r="C65" s="138">
        <f>$C$5*$C$29</f>
        <v>549.55818181818177</v>
      </c>
      <c r="D65" s="131"/>
      <c r="E65" s="139"/>
      <c r="F65" s="139"/>
      <c r="G65" s="132"/>
      <c r="H65" s="3"/>
    </row>
    <row r="66" spans="1:8" x14ac:dyDescent="0.4">
      <c r="A66" s="3"/>
      <c r="B66" s="91" t="s">
        <v>112</v>
      </c>
      <c r="C66" s="138">
        <f>'Deal Inputs'!C10+'Deal Inputs'!C22-($C$30+$C$31)*(1-'Deal Inputs'!$C$14)</f>
        <v>552.83924999999999</v>
      </c>
      <c r="D66" s="131"/>
      <c r="E66" s="139"/>
      <c r="F66" s="139"/>
      <c r="G66" s="132"/>
      <c r="H66" s="3"/>
    </row>
    <row r="67" spans="1:8" x14ac:dyDescent="0.4">
      <c r="A67" s="3"/>
      <c r="B67" s="92" t="s">
        <v>113</v>
      </c>
      <c r="C67" s="140">
        <f>(C65-C66)/(1-'Deal Inputs'!$C$14)</f>
        <v>-4.3747575757576369</v>
      </c>
      <c r="D67" s="141" t="s">
        <v>114</v>
      </c>
      <c r="E67" s="97"/>
      <c r="F67" s="97"/>
      <c r="G67" s="97"/>
      <c r="H67" s="3"/>
    </row>
    <row r="68" spans="1:8" x14ac:dyDescent="0.4">
      <c r="A68" s="3"/>
      <c r="B68" s="91" t="s">
        <v>115</v>
      </c>
      <c r="C68" s="138">
        <f>C36</f>
        <v>107</v>
      </c>
      <c r="D68" s="131"/>
      <c r="E68" s="139"/>
      <c r="F68" s="139"/>
      <c r="G68" s="132"/>
      <c r="H68" s="3"/>
    </row>
    <row r="69" spans="1:8" x14ac:dyDescent="0.4">
      <c r="A69" s="3"/>
      <c r="B69" s="91" t="s">
        <v>116</v>
      </c>
      <c r="C69" s="138">
        <f>C68-C67</f>
        <v>111.37475757575764</v>
      </c>
      <c r="D69" s="131"/>
      <c r="E69" s="139"/>
      <c r="F69" s="139"/>
      <c r="G69" s="132"/>
      <c r="H69" s="3"/>
    </row>
    <row r="70" spans="1:8" x14ac:dyDescent="0.4">
      <c r="A70" s="3"/>
      <c r="B70" s="91" t="s">
        <v>117</v>
      </c>
      <c r="C70" s="142" t="str">
        <f>IF(C67&lt;=0,"n.m.",C68/C67)</f>
        <v>n.m.</v>
      </c>
      <c r="D70" s="141" t="s">
        <v>118</v>
      </c>
      <c r="E70" s="97"/>
      <c r="F70" s="97"/>
      <c r="G70" s="97"/>
      <c r="H70" s="3"/>
    </row>
    <row r="71" spans="1:8" ht="25.2" customHeight="1" x14ac:dyDescent="0.45">
      <c r="A71" s="3"/>
      <c r="B71" s="6" t="s">
        <v>119</v>
      </c>
      <c r="C71" s="28"/>
      <c r="D71" s="28"/>
      <c r="E71" s="6" t="s">
        <v>84</v>
      </c>
      <c r="F71" s="6" t="s">
        <v>85</v>
      </c>
      <c r="G71" s="6" t="s">
        <v>86</v>
      </c>
      <c r="H71" s="3"/>
    </row>
    <row r="72" spans="1:8" x14ac:dyDescent="0.4">
      <c r="A72" s="3"/>
      <c r="B72" s="91" t="s">
        <v>120</v>
      </c>
      <c r="C72" s="143">
        <f>C20</f>
        <v>1063.9999999999995</v>
      </c>
      <c r="D72" s="144"/>
      <c r="E72" s="131"/>
      <c r="F72" s="139"/>
      <c r="G72" s="132"/>
      <c r="H72" s="3"/>
    </row>
    <row r="73" spans="1:8" x14ac:dyDescent="0.4">
      <c r="A73" s="3"/>
      <c r="B73" s="9" t="s">
        <v>121</v>
      </c>
      <c r="C73" s="62">
        <f>'Deal Inputs'!C36</f>
        <v>60</v>
      </c>
      <c r="D73" s="63"/>
      <c r="E73" s="43"/>
      <c r="F73" s="44"/>
      <c r="G73" s="45"/>
      <c r="H73" s="3"/>
    </row>
    <row r="74" spans="1:8" x14ac:dyDescent="0.4">
      <c r="A74" s="3"/>
      <c r="B74" s="9" t="s">
        <v>122</v>
      </c>
      <c r="C74" s="62">
        <f>'Deal Inputs'!C37</f>
        <v>45</v>
      </c>
      <c r="D74" s="63"/>
      <c r="E74" s="43"/>
      <c r="F74" s="44"/>
      <c r="G74" s="45"/>
      <c r="H74" s="3"/>
    </row>
    <row r="75" spans="1:8" x14ac:dyDescent="0.4">
      <c r="A75" s="3"/>
      <c r="B75" s="92" t="s">
        <v>123</v>
      </c>
      <c r="C75" s="145">
        <f>SUM(C72:C74)</f>
        <v>1168.9999999999995</v>
      </c>
      <c r="D75" s="146"/>
      <c r="E75" s="131"/>
      <c r="F75" s="139"/>
      <c r="G75" s="132"/>
      <c r="H75" s="3"/>
    </row>
    <row r="76" spans="1:8" x14ac:dyDescent="0.4">
      <c r="A76" s="3"/>
      <c r="B76" s="91" t="s">
        <v>124</v>
      </c>
      <c r="C76" s="131"/>
      <c r="D76" s="132"/>
      <c r="E76" s="138">
        <f>E40</f>
        <v>40.125</v>
      </c>
      <c r="F76" s="138">
        <f>F40</f>
        <v>64.2</v>
      </c>
      <c r="G76" s="138">
        <f>G40</f>
        <v>80.25</v>
      </c>
      <c r="H76" s="3"/>
    </row>
    <row r="77" spans="1:8" x14ac:dyDescent="0.4">
      <c r="A77" s="3"/>
      <c r="B77" s="91" t="s">
        <v>125</v>
      </c>
      <c r="C77" s="131"/>
      <c r="D77" s="132"/>
      <c r="E77" s="138">
        <f>E76</f>
        <v>40.125</v>
      </c>
      <c r="F77" s="138">
        <f>E77+F76</f>
        <v>104.325</v>
      </c>
      <c r="G77" s="138">
        <f>F77+G76</f>
        <v>184.57499999999999</v>
      </c>
      <c r="H77" s="3"/>
    </row>
    <row r="78" spans="1:8" x14ac:dyDescent="0.4">
      <c r="A78" s="3"/>
      <c r="B78" s="92" t="s">
        <v>126</v>
      </c>
      <c r="C78" s="147">
        <f>IF($C$37&lt;=0,"n.m.",IF(E77&gt;=C75,C75/E76,IF(F77&gt;=C75,1+(C75-E77)/F76,IF(G77&gt;=C75,2+(C75-F77)/G76,3+(C75-G77)/$C$37))))</f>
        <v>15.266978193146411</v>
      </c>
      <c r="D78" s="148"/>
      <c r="E78" s="131"/>
      <c r="F78" s="139"/>
      <c r="G78" s="132"/>
      <c r="H78" s="3"/>
    </row>
    <row r="79" spans="1:8" x14ac:dyDescent="0.4">
      <c r="A79" s="3"/>
      <c r="B79" s="149" t="s">
        <v>127</v>
      </c>
      <c r="C79" s="150"/>
      <c r="D79" s="151"/>
      <c r="E79" s="131"/>
      <c r="F79" s="139"/>
      <c r="G79" s="132"/>
      <c r="H79" s="3"/>
    </row>
    <row r="80" spans="1:8" ht="24.6" customHeight="1" x14ac:dyDescent="0.4">
      <c r="A80" s="3"/>
      <c r="B80" s="6" t="s">
        <v>128</v>
      </c>
      <c r="C80" s="1"/>
      <c r="D80" s="1"/>
      <c r="E80" s="1"/>
      <c r="F80" s="1"/>
      <c r="G80" s="1"/>
      <c r="H80" s="3"/>
    </row>
    <row r="81" spans="1:8" ht="16.8" customHeight="1" x14ac:dyDescent="0.4">
      <c r="A81" s="3"/>
      <c r="B81" s="91" t="s">
        <v>129</v>
      </c>
      <c r="C81" s="152" t="str">
        <f>IF(ABS('Deal Inputs'!C28+'Deal Inputs'!C29+'Deal Inputs'!C30-1)&lt;0.0001,"OK","CHECK")</f>
        <v>OK</v>
      </c>
      <c r="D81" s="153"/>
      <c r="E81" s="153"/>
      <c r="F81" s="153"/>
      <c r="G81" s="154"/>
      <c r="H81" s="3"/>
    </row>
    <row r="82" spans="1:8" ht="16.8" customHeight="1" x14ac:dyDescent="0.4">
      <c r="A82" s="3"/>
      <c r="B82" s="91" t="s">
        <v>130</v>
      </c>
      <c r="C82" s="152" t="str">
        <f>IF(ABS(C25-C26)&lt;0.01,"OK","CHECK")</f>
        <v>OK</v>
      </c>
      <c r="D82" s="153"/>
      <c r="E82" s="153"/>
      <c r="F82" s="153"/>
      <c r="G82" s="154"/>
      <c r="H82" s="3"/>
    </row>
    <row r="83" spans="1:8" ht="16.8" customHeight="1" x14ac:dyDescent="0.4">
      <c r="A83" s="3"/>
      <c r="B83" s="91" t="s">
        <v>131</v>
      </c>
      <c r="C83" s="152" t="str">
        <f>IF(ABS(C29-'Deal Inputs'!C6-C27)&lt;0.0001,"OK","CHECK")</f>
        <v>OK</v>
      </c>
      <c r="D83" s="153"/>
      <c r="E83" s="153"/>
      <c r="F83" s="153"/>
      <c r="G83" s="154"/>
      <c r="H83" s="3"/>
    </row>
    <row r="84" spans="1:8" ht="16.8" customHeight="1" x14ac:dyDescent="0.4">
      <c r="A84" s="3"/>
      <c r="B84" s="91" t="s">
        <v>132</v>
      </c>
      <c r="C84" s="152" t="str">
        <f>IF(C27&gt;=0,"OK","CHECK")</f>
        <v>OK</v>
      </c>
      <c r="D84" s="153"/>
      <c r="E84" s="153"/>
      <c r="F84" s="153"/>
      <c r="G84" s="154"/>
      <c r="H84" s="3"/>
    </row>
    <row r="85" spans="1:8" ht="16.8" customHeight="1" x14ac:dyDescent="0.4">
      <c r="A85" s="3"/>
      <c r="B85" s="91" t="s">
        <v>133</v>
      </c>
      <c r="C85" s="152" t="str">
        <f>IF(AND('Deal Inputs'!C14&gt;0,'Deal Inputs'!C14&lt;=0.5),"OK","CHECK")</f>
        <v>OK</v>
      </c>
      <c r="D85" s="153"/>
      <c r="E85" s="153"/>
      <c r="F85" s="153"/>
      <c r="G85" s="154"/>
      <c r="H85" s="3"/>
    </row>
    <row r="86" spans="1:8" ht="16.8" customHeight="1" x14ac:dyDescent="0.4">
      <c r="A86" s="3"/>
      <c r="B86" s="91" t="s">
        <v>134</v>
      </c>
      <c r="C86" s="152" t="str">
        <f>IF(AND('Deal Inputs'!C38&gt;=0,'Deal Inputs'!C38&lt;=1,'Deal Inputs'!C39&gt;=0,'Deal Inputs'!C39&lt;=1,'Deal Inputs'!C40&gt;=0,'Deal Inputs'!C40&lt;=1),"OK","CHECK")</f>
        <v>OK</v>
      </c>
      <c r="D86" s="153"/>
      <c r="E86" s="153"/>
      <c r="F86" s="153"/>
      <c r="G86" s="154"/>
      <c r="H86" s="3"/>
    </row>
    <row r="87" spans="1:8" ht="16.8" customHeight="1" x14ac:dyDescent="0.4">
      <c r="A87" s="3"/>
      <c r="B87" s="91" t="s">
        <v>135</v>
      </c>
      <c r="C87" s="152" t="str">
        <f>IF(ABS(C15-C14*'Deal Inputs'!C18)&lt;0.01,"OK","CHECK")</f>
        <v>OK</v>
      </c>
      <c r="D87" s="153"/>
      <c r="E87" s="153"/>
      <c r="F87" s="153"/>
      <c r="G87" s="154"/>
      <c r="H87" s="3"/>
    </row>
    <row r="88" spans="1:8" ht="16.8" customHeight="1" x14ac:dyDescent="0.4">
      <c r="A88" s="3"/>
      <c r="B88" s="91" t="s">
        <v>136</v>
      </c>
      <c r="C88" s="152" t="str">
        <f>IF(AND('Deal Inputs'!C6&gt;0,$C$5&gt;0,C29&gt;0),"OK","CHECK")</f>
        <v>OK</v>
      </c>
      <c r="D88" s="153"/>
      <c r="E88" s="153"/>
      <c r="F88" s="153"/>
      <c r="G88" s="154"/>
      <c r="H88" s="3"/>
    </row>
    <row r="89" spans="1:8" ht="16.8" customHeight="1" x14ac:dyDescent="0.4">
      <c r="A89" s="3"/>
      <c r="B89" s="92" t="s">
        <v>137</v>
      </c>
      <c r="C89" s="155" t="str">
        <f>IF(COUNTIF(C81:C88,"OK")=8,"ALL CHECKS PASS","REVIEW CHECKS")</f>
        <v>ALL CHECKS PASS</v>
      </c>
      <c r="D89" s="156"/>
      <c r="E89" s="156"/>
      <c r="F89" s="156"/>
      <c r="G89" s="157"/>
      <c r="H89" s="3"/>
    </row>
    <row r="90" spans="1:8" x14ac:dyDescent="0.4">
      <c r="A90" s="3"/>
      <c r="B90" s="5"/>
      <c r="C90" s="5"/>
      <c r="D90" s="5"/>
      <c r="E90" s="5"/>
      <c r="F90" s="5"/>
      <c r="G90" s="5"/>
      <c r="H90" s="3"/>
    </row>
    <row r="91" spans="1:8" x14ac:dyDescent="0.4">
      <c r="A91" s="3"/>
      <c r="B91" s="5"/>
      <c r="C91" s="5"/>
      <c r="D91" s="5"/>
      <c r="E91" s="5"/>
      <c r="F91" s="5"/>
      <c r="G91" s="5"/>
      <c r="H91" s="3"/>
    </row>
  </sheetData>
  <mergeCells count="83">
    <mergeCell ref="C86:G86"/>
    <mergeCell ref="C87:G87"/>
    <mergeCell ref="C88:G88"/>
    <mergeCell ref="C89:G89"/>
    <mergeCell ref="C81:G81"/>
    <mergeCell ref="C82:G82"/>
    <mergeCell ref="C83:G83"/>
    <mergeCell ref="C84:G84"/>
    <mergeCell ref="C85:G85"/>
    <mergeCell ref="C76:D76"/>
    <mergeCell ref="C77:D77"/>
    <mergeCell ref="C78:D78"/>
    <mergeCell ref="B79:D79"/>
    <mergeCell ref="E78:G78"/>
    <mergeCell ref="E79:G79"/>
    <mergeCell ref="C72:D72"/>
    <mergeCell ref="C73:D73"/>
    <mergeCell ref="C74:D74"/>
    <mergeCell ref="C75:D75"/>
    <mergeCell ref="E75:G75"/>
    <mergeCell ref="E72:G72"/>
    <mergeCell ref="E73:G73"/>
    <mergeCell ref="E74:G74"/>
    <mergeCell ref="D68:G68"/>
    <mergeCell ref="D69:G69"/>
    <mergeCell ref="C61:G61"/>
    <mergeCell ref="C62:G62"/>
    <mergeCell ref="C63:G63"/>
    <mergeCell ref="D65:G65"/>
    <mergeCell ref="D66:G66"/>
    <mergeCell ref="C56:G56"/>
    <mergeCell ref="C57:G57"/>
    <mergeCell ref="C58:G58"/>
    <mergeCell ref="C59:G59"/>
    <mergeCell ref="C60:G60"/>
    <mergeCell ref="C50:D50"/>
    <mergeCell ref="C51:D51"/>
    <mergeCell ref="C52:D52"/>
    <mergeCell ref="C53:D53"/>
    <mergeCell ref="C55:G55"/>
    <mergeCell ref="C19:G19"/>
    <mergeCell ref="C20:G20"/>
    <mergeCell ref="C5:G5"/>
    <mergeCell ref="C6:G6"/>
    <mergeCell ref="C7:G7"/>
    <mergeCell ref="C8:G8"/>
    <mergeCell ref="C9:G9"/>
    <mergeCell ref="C10:G10"/>
    <mergeCell ref="C11:G11"/>
    <mergeCell ref="C12:G12"/>
    <mergeCell ref="C14:G14"/>
    <mergeCell ref="C15:G15"/>
    <mergeCell ref="C16:G16"/>
    <mergeCell ref="C17:G17"/>
    <mergeCell ref="C18:G18"/>
    <mergeCell ref="C39:D39"/>
    <mergeCell ref="C40:D40"/>
    <mergeCell ref="C22:G22"/>
    <mergeCell ref="C23:G23"/>
    <mergeCell ref="C24:G24"/>
    <mergeCell ref="C25:G25"/>
    <mergeCell ref="C27:G27"/>
    <mergeCell ref="C26:G26"/>
    <mergeCell ref="C28:G28"/>
    <mergeCell ref="C29:G29"/>
    <mergeCell ref="C30:G30"/>
    <mergeCell ref="C31:G31"/>
    <mergeCell ref="C1:G1"/>
    <mergeCell ref="B64:E64"/>
    <mergeCell ref="B42:D42"/>
    <mergeCell ref="B43:D43"/>
    <mergeCell ref="B44:D44"/>
    <mergeCell ref="B45:D45"/>
    <mergeCell ref="B46:D46"/>
    <mergeCell ref="B47:D47"/>
    <mergeCell ref="B48:D48"/>
    <mergeCell ref="C32:D32"/>
    <mergeCell ref="C33:D33"/>
    <mergeCell ref="C34:D34"/>
    <mergeCell ref="C35:D35"/>
    <mergeCell ref="C36:D36"/>
    <mergeCell ref="C37:D37"/>
    <mergeCell ref="C38:D38"/>
  </mergeCells>
  <conditionalFormatting sqref="C81:C89">
    <cfRule type="cellIs" dxfId="7" priority="4" operator="equal">
      <formula>"CHECK"</formula>
    </cfRule>
    <cfRule type="cellIs" dxfId="6" priority="5" operator="equal">
      <formula>"REVIEW CHECKS"</formula>
    </cfRule>
  </conditionalFormatting>
  <conditionalFormatting sqref="E53:G53">
    <cfRule type="cellIs" dxfId="5" priority="2" operator="greaterThan">
      <formula>0</formula>
    </cfRule>
    <cfRule type="cellIs" dxfId="4" priority="3" operator="lessThan">
      <formula>0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0"/>
  <sheetViews>
    <sheetView showGridLines="0" zoomScaleNormal="100" workbookViewId="0">
      <selection activeCell="C9" sqref="C9"/>
    </sheetView>
  </sheetViews>
  <sheetFormatPr defaultColWidth="8.6640625" defaultRowHeight="16.8" x14ac:dyDescent="0.4"/>
  <cols>
    <col min="1" max="1" width="8.6640625" style="3"/>
    <col min="2" max="2" width="34" style="24" customWidth="1"/>
    <col min="3" max="3" width="8.77734375" style="24" customWidth="1"/>
    <col min="4" max="4" width="9.88671875" style="24" customWidth="1"/>
    <col min="5" max="5" width="36.6640625" style="24" customWidth="1"/>
    <col min="6" max="6" width="15" style="24" customWidth="1"/>
    <col min="7" max="8" width="12" style="24" customWidth="1"/>
    <col min="9" max="16" width="11" style="24" customWidth="1"/>
    <col min="17" max="16384" width="8.6640625" style="24"/>
  </cols>
  <sheetData>
    <row r="1" spans="2:17" ht="76.8" customHeight="1" x14ac:dyDescent="0.55000000000000004">
      <c r="B1" s="41"/>
      <c r="C1" s="41"/>
      <c r="D1" s="40" t="s">
        <v>138</v>
      </c>
      <c r="E1" s="40"/>
      <c r="F1" s="40"/>
      <c r="G1" s="40"/>
      <c r="H1" s="5"/>
      <c r="I1" s="5"/>
      <c r="J1" s="5"/>
      <c r="K1" s="5"/>
      <c r="L1" s="5"/>
      <c r="M1" s="5"/>
      <c r="N1" s="5"/>
      <c r="O1" s="5"/>
      <c r="P1" s="5"/>
      <c r="Q1" s="5"/>
    </row>
    <row r="2" spans="2:17" x14ac:dyDescent="0.4">
      <c r="B2" s="4"/>
      <c r="C2" s="5"/>
      <c r="D2" s="5"/>
      <c r="E2" s="5"/>
      <c r="F2" s="5"/>
      <c r="G2" s="5"/>
      <c r="H2" s="5"/>
      <c r="I2" s="7"/>
      <c r="J2" s="7"/>
      <c r="K2" s="7"/>
      <c r="L2" s="7"/>
      <c r="M2" s="7"/>
      <c r="N2" s="7"/>
      <c r="O2" s="7"/>
      <c r="P2" s="7"/>
      <c r="Q2" s="5"/>
    </row>
    <row r="3" spans="2:17" x14ac:dyDescent="0.4">
      <c r="H3" s="5"/>
      <c r="I3" s="7"/>
      <c r="J3" s="7"/>
      <c r="K3" s="7"/>
      <c r="L3" s="7"/>
      <c r="M3" s="7"/>
      <c r="N3" s="7"/>
      <c r="O3" s="7"/>
      <c r="P3" s="7"/>
      <c r="Q3" s="5"/>
    </row>
    <row r="4" spans="2:17" ht="25.2" customHeight="1" x14ac:dyDescent="0.4">
      <c r="B4" s="35" t="s">
        <v>139</v>
      </c>
      <c r="C4" s="35"/>
      <c r="D4" s="35"/>
      <c r="E4" s="35"/>
      <c r="F4" s="35"/>
      <c r="G4" s="35"/>
      <c r="H4" s="5"/>
      <c r="I4" s="7"/>
      <c r="J4" s="7"/>
      <c r="K4" s="7"/>
      <c r="L4" s="7"/>
      <c r="M4" s="7"/>
      <c r="N4" s="7"/>
      <c r="O4" s="7"/>
      <c r="P4" s="7"/>
      <c r="Q4" s="5"/>
    </row>
    <row r="5" spans="2:17" x14ac:dyDescent="0.4">
      <c r="B5" s="90" t="s">
        <v>140</v>
      </c>
      <c r="C5" s="31">
        <f>'Transaction Model'!C14</f>
        <v>39.199999999999996</v>
      </c>
      <c r="D5" s="7"/>
      <c r="E5" s="90" t="s">
        <v>141</v>
      </c>
      <c r="F5" s="37">
        <f>'Transaction Model'!E53</f>
        <v>-6.4313357507022162E-2</v>
      </c>
      <c r="G5" s="37"/>
      <c r="H5" s="5"/>
      <c r="I5" s="7"/>
      <c r="J5" s="7"/>
      <c r="K5" s="7"/>
      <c r="L5" s="7"/>
      <c r="M5" s="7"/>
      <c r="N5" s="7"/>
      <c r="O5" s="7"/>
      <c r="P5" s="7"/>
      <c r="Q5" s="5"/>
    </row>
    <row r="6" spans="2:17" x14ac:dyDescent="0.4">
      <c r="B6" s="90" t="s">
        <v>142</v>
      </c>
      <c r="C6" s="32">
        <f>'Deal Inputs'!C27</f>
        <v>0.4</v>
      </c>
      <c r="D6" s="7"/>
      <c r="E6" s="90" t="s">
        <v>143</v>
      </c>
      <c r="F6" s="37">
        <f>'Transaction Model'!F53</f>
        <v>0.12279149035423509</v>
      </c>
      <c r="G6" s="37"/>
      <c r="H6" s="5"/>
      <c r="I6" s="7"/>
      <c r="J6" s="7"/>
      <c r="K6" s="7"/>
      <c r="L6" s="7"/>
      <c r="M6" s="7"/>
      <c r="N6" s="7"/>
      <c r="O6" s="7"/>
      <c r="P6" s="7"/>
      <c r="Q6" s="5"/>
    </row>
    <row r="7" spans="2:17" x14ac:dyDescent="0.4">
      <c r="B7" s="90" t="s">
        <v>65</v>
      </c>
      <c r="C7" s="26">
        <f>'Transaction Model'!C15</f>
        <v>3723.9999999999995</v>
      </c>
      <c r="D7" s="7"/>
      <c r="E7" s="90" t="s">
        <v>144</v>
      </c>
      <c r="F7" s="37">
        <f>'Transaction Model'!G53</f>
        <v>0.15199676930559103</v>
      </c>
      <c r="G7" s="37"/>
      <c r="H7" s="5"/>
      <c r="I7" s="7"/>
      <c r="J7" s="7"/>
      <c r="K7" s="7"/>
      <c r="L7" s="7"/>
      <c r="M7" s="7"/>
      <c r="N7" s="7"/>
      <c r="O7" s="7"/>
      <c r="P7" s="7"/>
      <c r="Q7" s="5"/>
    </row>
    <row r="8" spans="2:17" x14ac:dyDescent="0.4">
      <c r="B8" s="90" t="s">
        <v>67</v>
      </c>
      <c r="C8" s="26">
        <f>'Transaction Model'!C17</f>
        <v>3993.9999999999995</v>
      </c>
      <c r="D8" s="7"/>
      <c r="E8" s="90" t="s">
        <v>145</v>
      </c>
      <c r="F8" s="38">
        <f>'Transaction Model'!C67</f>
        <v>-4.3747575757576369</v>
      </c>
      <c r="G8" s="38"/>
      <c r="H8" s="5"/>
      <c r="I8" s="7"/>
      <c r="J8" s="7"/>
      <c r="K8" s="7"/>
      <c r="L8" s="7"/>
      <c r="M8" s="7"/>
      <c r="N8" s="7"/>
      <c r="O8" s="7"/>
      <c r="P8" s="7"/>
      <c r="Q8" s="5"/>
    </row>
    <row r="9" spans="2:17" x14ac:dyDescent="0.4">
      <c r="B9" s="90" t="s">
        <v>69</v>
      </c>
      <c r="C9" s="33">
        <f>'Transaction Model'!C19</f>
        <v>11.747058823529411</v>
      </c>
      <c r="D9" s="7"/>
      <c r="E9" s="90" t="s">
        <v>146</v>
      </c>
      <c r="F9" s="38">
        <f>'Transaction Model'!C68</f>
        <v>107</v>
      </c>
      <c r="G9" s="38"/>
      <c r="H9" s="5"/>
      <c r="I9" s="7"/>
      <c r="J9" s="7"/>
      <c r="K9" s="7"/>
      <c r="L9" s="7"/>
      <c r="M9" s="7"/>
      <c r="N9" s="7"/>
      <c r="O9" s="7"/>
      <c r="P9" s="7"/>
      <c r="Q9" s="5"/>
    </row>
    <row r="10" spans="2:17" x14ac:dyDescent="0.4">
      <c r="B10" s="90" t="s">
        <v>120</v>
      </c>
      <c r="C10" s="26">
        <f>'Transaction Model'!C20</f>
        <v>1063.9999999999995</v>
      </c>
      <c r="D10" s="7"/>
      <c r="E10" s="90" t="s">
        <v>116</v>
      </c>
      <c r="F10" s="38">
        <f>'Transaction Model'!C69</f>
        <v>111.37475757575764</v>
      </c>
      <c r="G10" s="38"/>
      <c r="H10" s="5"/>
      <c r="I10" s="7"/>
      <c r="J10" s="7"/>
      <c r="K10" s="7"/>
      <c r="L10" s="7"/>
      <c r="M10" s="7"/>
      <c r="N10" s="7"/>
      <c r="O10" s="7"/>
      <c r="P10" s="7"/>
      <c r="Q10" s="5"/>
    </row>
    <row r="11" spans="2:17" x14ac:dyDescent="0.4">
      <c r="B11" s="90" t="s">
        <v>147</v>
      </c>
      <c r="C11" s="27">
        <f>'Deal Inputs'!C28</f>
        <v>0.2</v>
      </c>
      <c r="D11" s="7"/>
      <c r="E11" s="90" t="s">
        <v>148</v>
      </c>
      <c r="F11" s="39">
        <f>'Transaction Model'!C62</f>
        <v>2.3947692307692305</v>
      </c>
      <c r="G11" s="39"/>
      <c r="H11" s="5"/>
      <c r="I11" s="7"/>
      <c r="J11" s="7"/>
      <c r="K11" s="7"/>
      <c r="L11" s="7"/>
      <c r="M11" s="7"/>
      <c r="N11" s="7"/>
      <c r="O11" s="7"/>
      <c r="P11" s="7"/>
      <c r="Q11" s="5"/>
    </row>
    <row r="12" spans="2:17" x14ac:dyDescent="0.4">
      <c r="B12" s="90" t="s">
        <v>149</v>
      </c>
      <c r="C12" s="27">
        <f>'Deal Inputs'!C29</f>
        <v>0.35</v>
      </c>
      <c r="D12" s="7"/>
      <c r="E12" s="90" t="s">
        <v>150</v>
      </c>
      <c r="F12" s="39">
        <f>'Transaction Model'!C63</f>
        <v>2.2126510305614784</v>
      </c>
      <c r="G12" s="39"/>
      <c r="H12" s="5"/>
      <c r="I12" s="7"/>
      <c r="J12" s="7"/>
      <c r="K12" s="7"/>
      <c r="L12" s="7"/>
      <c r="M12" s="7"/>
      <c r="N12" s="7"/>
      <c r="O12" s="7"/>
      <c r="P12" s="7"/>
      <c r="Q12" s="5"/>
    </row>
    <row r="13" spans="2:17" x14ac:dyDescent="0.4">
      <c r="B13" s="90" t="s">
        <v>151</v>
      </c>
      <c r="C13" s="27">
        <f>'Deal Inputs'!C30</f>
        <v>0.45</v>
      </c>
      <c r="D13" s="7"/>
      <c r="E13" s="90" t="s">
        <v>152</v>
      </c>
      <c r="F13" s="42">
        <f>'Transaction Model'!C78</f>
        <v>15.266978193146411</v>
      </c>
      <c r="G13" s="42"/>
      <c r="H13" s="5"/>
      <c r="I13" s="7"/>
      <c r="J13" s="7"/>
      <c r="K13" s="7"/>
      <c r="L13" s="7"/>
      <c r="M13" s="7"/>
      <c r="N13" s="7"/>
      <c r="O13" s="7"/>
      <c r="P13" s="7"/>
      <c r="Q13" s="5"/>
    </row>
    <row r="14" spans="2:17" x14ac:dyDescent="0.4">
      <c r="B14" s="90" t="s">
        <v>73</v>
      </c>
      <c r="C14" s="26">
        <f>'Transaction Model'!C23</f>
        <v>1303.3999999999999</v>
      </c>
      <c r="D14" s="7"/>
      <c r="E14" s="90" t="s">
        <v>153</v>
      </c>
      <c r="F14" s="36" t="str">
        <f>'Transaction Model'!C89</f>
        <v>ALL CHECKS PASS</v>
      </c>
      <c r="G14" s="36"/>
      <c r="H14" s="5"/>
      <c r="I14" s="7"/>
      <c r="J14" s="7"/>
      <c r="K14" s="7"/>
      <c r="L14" s="7"/>
      <c r="M14" s="7"/>
      <c r="N14" s="7"/>
      <c r="O14" s="7"/>
      <c r="P14" s="7"/>
      <c r="Q14" s="5"/>
    </row>
    <row r="15" spans="2:17" x14ac:dyDescent="0.4">
      <c r="B15" s="90" t="s">
        <v>77</v>
      </c>
      <c r="C15" s="34">
        <f>'Transaction Model'!C27</f>
        <v>37.239999999999995</v>
      </c>
      <c r="D15" s="7"/>
      <c r="E15" s="7"/>
      <c r="F15" s="7"/>
      <c r="G15" s="7"/>
      <c r="H15" s="5"/>
      <c r="I15" s="7"/>
      <c r="J15" s="7"/>
      <c r="K15" s="7"/>
      <c r="L15" s="7"/>
      <c r="M15" s="7"/>
      <c r="N15" s="7"/>
      <c r="O15" s="7"/>
      <c r="P15" s="7"/>
      <c r="Q15" s="5"/>
    </row>
    <row r="16" spans="2:17" ht="24" customHeight="1" x14ac:dyDescent="0.4">
      <c r="B16" s="35" t="s">
        <v>154</v>
      </c>
      <c r="C16" s="35"/>
      <c r="D16" s="35"/>
      <c r="E16" s="35"/>
      <c r="F16" s="35"/>
      <c r="G16" s="35"/>
      <c r="H16" s="5"/>
      <c r="I16" s="7"/>
      <c r="J16" s="7"/>
      <c r="K16" s="7"/>
      <c r="L16" s="7"/>
      <c r="M16" s="7"/>
      <c r="N16" s="7"/>
      <c r="O16" s="7"/>
      <c r="P16" s="7"/>
      <c r="Q16" s="5"/>
    </row>
    <row r="17" spans="2:17" x14ac:dyDescent="0.4">
      <c r="B17" s="74" t="str">
        <f>IF('Transaction Model'!C62&gt;4,"HIGH LEVERAGE RISK",IF('Transaction Model'!F53&lt;-0.01,"DILUTIVE",IF('Transaction Model'!F53&lt;0.01,"MARGINAL",IF(AND('Transaction Model'!C67&gt;0,'Transaction Model'!C68&lt;1.25*'Transaction Model'!C67),"SYNERGY-DEPENDENT","ACCRETIVE"))))</f>
        <v>ACCRETIVE</v>
      </c>
      <c r="C17" s="74"/>
      <c r="D17" s="74"/>
      <c r="E17" s="74"/>
      <c r="F17" s="74"/>
      <c r="G17" s="74"/>
      <c r="H17" s="5"/>
      <c r="I17" s="7"/>
      <c r="J17" s="7"/>
      <c r="K17" s="7"/>
      <c r="L17" s="7"/>
      <c r="M17" s="7"/>
      <c r="N17" s="7"/>
      <c r="O17" s="7"/>
      <c r="P17" s="7"/>
      <c r="Q17" s="5"/>
    </row>
    <row r="18" spans="2:17" x14ac:dyDescent="0.4">
      <c r="B18" s="74"/>
      <c r="C18" s="74"/>
      <c r="D18" s="74"/>
      <c r="E18" s="74"/>
      <c r="F18" s="74"/>
      <c r="G18" s="74"/>
      <c r="H18" s="5"/>
      <c r="I18" s="7"/>
      <c r="J18" s="7"/>
      <c r="K18" s="7"/>
      <c r="L18" s="7"/>
      <c r="M18" s="7"/>
      <c r="N18" s="7"/>
      <c r="O18" s="7"/>
      <c r="P18" s="7"/>
      <c r="Q18" s="5"/>
    </row>
    <row r="19" spans="2:17" x14ac:dyDescent="0.4">
      <c r="B19" s="74"/>
      <c r="C19" s="74"/>
      <c r="D19" s="74"/>
      <c r="E19" s="74"/>
      <c r="F19" s="74"/>
      <c r="G19" s="74"/>
      <c r="H19" s="5"/>
      <c r="I19" s="7"/>
      <c r="J19" s="7"/>
      <c r="K19" s="7"/>
      <c r="L19" s="7"/>
      <c r="M19" s="7"/>
      <c r="N19" s="7"/>
      <c r="O19" s="7"/>
      <c r="P19" s="7"/>
      <c r="Q19" s="5"/>
    </row>
    <row r="20" spans="2:17" x14ac:dyDescent="0.4">
      <c r="B20" s="74"/>
      <c r="C20" s="74"/>
      <c r="D20" s="74"/>
      <c r="E20" s="74"/>
      <c r="F20" s="74"/>
      <c r="G20" s="74"/>
      <c r="H20" s="5"/>
      <c r="I20" s="7"/>
      <c r="J20" s="7"/>
      <c r="K20" s="7"/>
      <c r="L20" s="7"/>
      <c r="M20" s="7"/>
      <c r="N20" s="7"/>
      <c r="O20" s="7"/>
      <c r="P20" s="7"/>
      <c r="Q20" s="5"/>
    </row>
    <row r="21" spans="2:17" ht="26.4" customHeight="1" x14ac:dyDescent="0.4">
      <c r="B21" s="35" t="s">
        <v>155</v>
      </c>
      <c r="C21" s="35"/>
      <c r="D21" s="35"/>
      <c r="E21" s="35"/>
      <c r="F21" s="35"/>
      <c r="G21" s="35"/>
      <c r="H21" s="5"/>
      <c r="I21" s="7"/>
      <c r="J21" s="7"/>
      <c r="K21" s="7"/>
      <c r="L21" s="7"/>
      <c r="M21" s="7"/>
      <c r="N21" s="7"/>
      <c r="O21" s="7"/>
      <c r="P21" s="7"/>
      <c r="Q21" s="5"/>
    </row>
    <row r="22" spans="2:17" ht="23.4" customHeight="1" x14ac:dyDescent="0.4">
      <c r="B22" s="84" t="s">
        <v>156</v>
      </c>
      <c r="C22" s="82">
        <v>0</v>
      </c>
      <c r="D22" s="83">
        <v>40</v>
      </c>
      <c r="E22" s="158">
        <v>80</v>
      </c>
      <c r="F22" s="83">
        <v>120</v>
      </c>
      <c r="G22" s="83">
        <v>160</v>
      </c>
      <c r="H22" s="5"/>
      <c r="I22" s="7"/>
      <c r="J22" s="7"/>
      <c r="K22" s="7"/>
      <c r="L22" s="7"/>
      <c r="M22" s="7"/>
      <c r="N22" s="7"/>
      <c r="O22" s="7"/>
      <c r="P22" s="7"/>
      <c r="Q22" s="5"/>
    </row>
    <row r="23" spans="2:17" x14ac:dyDescent="0.4">
      <c r="B23" s="80">
        <v>0.2</v>
      </c>
      <c r="C23" s="81">
        <f>(('Deal Inputs'!$C$10+'Deal Inputs'!$C$22+((C$22+'Deal Inputs'!$C$34*'Deal Inputs'!$C$35)*'Deal Inputs'!$C$39-'Deal Inputs'!$C$32*'Deal Inputs'!$C$29*'Deal Inputs'!$C$17*(1+$B23)*'Deal Inputs'!$C$18-'Deal Inputs'!$C$13*('Deal Inputs'!$C$28*'Deal Inputs'!$C$17*(1+$B23)*'Deal Inputs'!$C$18+'Deal Inputs'!$C$37))*(1-'Deal Inputs'!$C$14))/('Deal Inputs'!$C$6+'Deal Inputs'!$C$30*'Deal Inputs'!$C$17*(1+$B23)*'Deal Inputs'!$C$18/'Deal Inputs'!$C$5))/'Transaction Model'!$C$5-1</f>
        <v>8.0668170577623544E-2</v>
      </c>
      <c r="D23" s="76">
        <f>(('Deal Inputs'!$C$10+'Deal Inputs'!$C$22+((D$22+'Deal Inputs'!$C$34*'Deal Inputs'!$C$35)*'Deal Inputs'!$C$39-'Deal Inputs'!$C$32*'Deal Inputs'!$C$29*'Deal Inputs'!$C$17*(1+$B23)*'Deal Inputs'!$C$18-'Deal Inputs'!$C$13*('Deal Inputs'!$C$28*'Deal Inputs'!$C$17*(1+$B23)*'Deal Inputs'!$C$18+'Deal Inputs'!$C$37))*(1-'Deal Inputs'!$C$14))/('Deal Inputs'!$C$6+'Deal Inputs'!$C$30*'Deal Inputs'!$C$17*(1+$B23)*'Deal Inputs'!$C$18/'Deal Inputs'!$C$5))/'Transaction Model'!$C$5-1</f>
        <v>0.12526186124605587</v>
      </c>
      <c r="E23" s="76">
        <f>(('Deal Inputs'!$C$10+'Deal Inputs'!$C$22+((E$22+'Deal Inputs'!$C$34*'Deal Inputs'!$C$35)*'Deal Inputs'!$C$39-'Deal Inputs'!$C$32*'Deal Inputs'!$C$29*'Deal Inputs'!$C$17*(1+$B23)*'Deal Inputs'!$C$18-'Deal Inputs'!$C$13*('Deal Inputs'!$C$28*'Deal Inputs'!$C$17*(1+$B23)*'Deal Inputs'!$C$18+'Deal Inputs'!$C$37))*(1-'Deal Inputs'!$C$14))/('Deal Inputs'!$C$6+'Deal Inputs'!$C$30*'Deal Inputs'!$C$17*(1+$B23)*'Deal Inputs'!$C$18/'Deal Inputs'!$C$5))/'Transaction Model'!$C$5-1</f>
        <v>0.16985555191448842</v>
      </c>
      <c r="F23" s="76">
        <f>(('Deal Inputs'!$C$10+'Deal Inputs'!$C$22+((F$22+'Deal Inputs'!$C$34*'Deal Inputs'!$C$35)*'Deal Inputs'!$C$39-'Deal Inputs'!$C$32*'Deal Inputs'!$C$29*'Deal Inputs'!$C$17*(1+$B23)*'Deal Inputs'!$C$18-'Deal Inputs'!$C$13*('Deal Inputs'!$C$28*'Deal Inputs'!$C$17*(1+$B23)*'Deal Inputs'!$C$18+'Deal Inputs'!$C$37))*(1-'Deal Inputs'!$C$14))/('Deal Inputs'!$C$6+'Deal Inputs'!$C$30*'Deal Inputs'!$C$17*(1+$B23)*'Deal Inputs'!$C$18/'Deal Inputs'!$C$5))/'Transaction Model'!$C$5-1</f>
        <v>0.21444924258292075</v>
      </c>
      <c r="G23" s="76">
        <f>(('Deal Inputs'!$C$10+'Deal Inputs'!$C$22+((G$22+'Deal Inputs'!$C$34*'Deal Inputs'!$C$35)*'Deal Inputs'!$C$39-'Deal Inputs'!$C$32*'Deal Inputs'!$C$29*'Deal Inputs'!$C$17*(1+$B23)*'Deal Inputs'!$C$18-'Deal Inputs'!$C$13*('Deal Inputs'!$C$28*'Deal Inputs'!$C$17*(1+$B23)*'Deal Inputs'!$C$18+'Deal Inputs'!$C$37))*(1-'Deal Inputs'!$C$14))/('Deal Inputs'!$C$6+'Deal Inputs'!$C$30*'Deal Inputs'!$C$17*(1+$B23)*'Deal Inputs'!$C$18/'Deal Inputs'!$C$5))/'Transaction Model'!$C$5-1</f>
        <v>0.25904293325135308</v>
      </c>
      <c r="H23" s="5"/>
      <c r="I23" s="7"/>
      <c r="J23" s="7"/>
      <c r="K23" s="7"/>
      <c r="L23" s="7"/>
      <c r="M23" s="7"/>
      <c r="N23" s="7"/>
      <c r="O23" s="7"/>
      <c r="P23" s="7"/>
      <c r="Q23" s="5"/>
    </row>
    <row r="24" spans="2:17" x14ac:dyDescent="0.4">
      <c r="B24" s="80">
        <v>0.3</v>
      </c>
      <c r="C24" s="79">
        <f>(('Deal Inputs'!$C$10+'Deal Inputs'!$C$22+((C$22+'Deal Inputs'!$C$34*'Deal Inputs'!$C$35)*'Deal Inputs'!$C$39-'Deal Inputs'!$C$32*'Deal Inputs'!$C$29*'Deal Inputs'!$C$17*(1+$B24)*'Deal Inputs'!$C$18-'Deal Inputs'!$C$13*('Deal Inputs'!$C$28*'Deal Inputs'!$C$17*(1+$B24)*'Deal Inputs'!$C$18+'Deal Inputs'!$C$37))*(1-'Deal Inputs'!$C$14))/('Deal Inputs'!$C$6+'Deal Inputs'!$C$30*'Deal Inputs'!$C$17*(1+$B24)*'Deal Inputs'!$C$18/'Deal Inputs'!$C$5))/'Transaction Model'!$C$5-1</f>
        <v>5.7822145110093759E-2</v>
      </c>
      <c r="D24" s="30">
        <f>(('Deal Inputs'!$C$10+'Deal Inputs'!$C$22+((D$22+'Deal Inputs'!$C$34*'Deal Inputs'!$C$35)*'Deal Inputs'!$C$39-'Deal Inputs'!$C$32*'Deal Inputs'!$C$29*'Deal Inputs'!$C$17*(1+$B24)*'Deal Inputs'!$C$18-'Deal Inputs'!$C$13*('Deal Inputs'!$C$28*'Deal Inputs'!$C$17*(1+$B24)*'Deal Inputs'!$C$18+'Deal Inputs'!$C$37))*(1-'Deal Inputs'!$C$14))/('Deal Inputs'!$C$6+'Deal Inputs'!$C$30*'Deal Inputs'!$C$17*(1+$B24)*'Deal Inputs'!$C$18/'Deal Inputs'!$C$5))/'Transaction Model'!$C$5-1</f>
        <v>0.10194989494586837</v>
      </c>
      <c r="E24" s="30">
        <f>(('Deal Inputs'!$C$10+'Deal Inputs'!$C$22+((E$22+'Deal Inputs'!$C$34*'Deal Inputs'!$C$35)*'Deal Inputs'!$C$39-'Deal Inputs'!$C$32*'Deal Inputs'!$C$29*'Deal Inputs'!$C$17*(1+$B24)*'Deal Inputs'!$C$18-'Deal Inputs'!$C$13*('Deal Inputs'!$C$28*'Deal Inputs'!$C$17*(1+$B24)*'Deal Inputs'!$C$18+'Deal Inputs'!$C$37))*(1-'Deal Inputs'!$C$14))/('Deal Inputs'!$C$6+'Deal Inputs'!$C$30*'Deal Inputs'!$C$17*(1+$B24)*'Deal Inputs'!$C$18/'Deal Inputs'!$C$5))/'Transaction Model'!$C$5-1</f>
        <v>0.14607764478164298</v>
      </c>
      <c r="F24" s="30">
        <f>(('Deal Inputs'!$C$10+'Deal Inputs'!$C$22+((F$22+'Deal Inputs'!$C$34*'Deal Inputs'!$C$35)*'Deal Inputs'!$C$39-'Deal Inputs'!$C$32*'Deal Inputs'!$C$29*'Deal Inputs'!$C$17*(1+$B24)*'Deal Inputs'!$C$18-'Deal Inputs'!$C$13*('Deal Inputs'!$C$28*'Deal Inputs'!$C$17*(1+$B24)*'Deal Inputs'!$C$18+'Deal Inputs'!$C$37))*(1-'Deal Inputs'!$C$14))/('Deal Inputs'!$C$6+'Deal Inputs'!$C$30*'Deal Inputs'!$C$17*(1+$B24)*'Deal Inputs'!$C$18/'Deal Inputs'!$C$5))/'Transaction Model'!$C$5-1</f>
        <v>0.19020539461741759</v>
      </c>
      <c r="G24" s="30">
        <f>(('Deal Inputs'!$C$10+'Deal Inputs'!$C$22+((G$22+'Deal Inputs'!$C$34*'Deal Inputs'!$C$35)*'Deal Inputs'!$C$39-'Deal Inputs'!$C$32*'Deal Inputs'!$C$29*'Deal Inputs'!$C$17*(1+$B24)*'Deal Inputs'!$C$18-'Deal Inputs'!$C$13*('Deal Inputs'!$C$28*'Deal Inputs'!$C$17*(1+$B24)*'Deal Inputs'!$C$18+'Deal Inputs'!$C$37))*(1-'Deal Inputs'!$C$14))/('Deal Inputs'!$C$6+'Deal Inputs'!$C$30*'Deal Inputs'!$C$17*(1+$B24)*'Deal Inputs'!$C$18/'Deal Inputs'!$C$5))/'Transaction Model'!$C$5-1</f>
        <v>0.23433314445319198</v>
      </c>
      <c r="H24" s="5"/>
      <c r="I24" s="7"/>
      <c r="J24" s="7"/>
      <c r="K24" s="7"/>
      <c r="L24" s="7"/>
      <c r="M24" s="7"/>
      <c r="N24" s="7"/>
      <c r="O24" s="7"/>
      <c r="P24" s="7"/>
      <c r="Q24" s="5"/>
    </row>
    <row r="25" spans="2:17" x14ac:dyDescent="0.4">
      <c r="B25" s="80">
        <v>0.4</v>
      </c>
      <c r="C25" s="79">
        <f>(('Deal Inputs'!$C$10+'Deal Inputs'!$C$22+((C$22+'Deal Inputs'!$C$34*'Deal Inputs'!$C$35)*'Deal Inputs'!$C$39-'Deal Inputs'!$C$32*'Deal Inputs'!$C$29*'Deal Inputs'!$C$17*(1+$B25)*'Deal Inputs'!$C$18-'Deal Inputs'!$C$13*('Deal Inputs'!$C$28*'Deal Inputs'!$C$17*(1+$B25)*'Deal Inputs'!$C$18+'Deal Inputs'!$C$37))*(1-'Deal Inputs'!$C$14))/('Deal Inputs'!$C$6+'Deal Inputs'!$C$30*'Deal Inputs'!$C$17*(1+$B25)*'Deal Inputs'!$C$18/'Deal Inputs'!$C$5))/'Transaction Model'!$C$5-1</f>
        <v>3.5448600032422783E-2</v>
      </c>
      <c r="D25" s="30">
        <f>(('Deal Inputs'!$C$10+'Deal Inputs'!$C$22+((D$22+'Deal Inputs'!$C$34*'Deal Inputs'!$C$35)*'Deal Inputs'!$C$39-'Deal Inputs'!$C$32*'Deal Inputs'!$C$29*'Deal Inputs'!$C$17*(1+$B25)*'Deal Inputs'!$C$18-'Deal Inputs'!$C$13*('Deal Inputs'!$C$28*'Deal Inputs'!$C$17*(1+$B25)*'Deal Inputs'!$C$18+'Deal Inputs'!$C$37))*(1-'Deal Inputs'!$C$14))/('Deal Inputs'!$C$6+'Deal Inputs'!$C$30*'Deal Inputs'!$C$17*(1+$B25)*'Deal Inputs'!$C$18/'Deal Inputs'!$C$5))/'Transaction Model'!$C$5-1</f>
        <v>7.9120045193328936E-2</v>
      </c>
      <c r="E25" s="30">
        <f>(('Deal Inputs'!$C$10+'Deal Inputs'!$C$22+((E$22+'Deal Inputs'!$C$34*'Deal Inputs'!$C$35)*'Deal Inputs'!$C$39-'Deal Inputs'!$C$32*'Deal Inputs'!$C$29*'Deal Inputs'!$C$17*(1+$B25)*'Deal Inputs'!$C$18-'Deal Inputs'!$C$13*('Deal Inputs'!$C$28*'Deal Inputs'!$C$17*(1+$B25)*'Deal Inputs'!$C$18+'Deal Inputs'!$C$37))*(1-'Deal Inputs'!$C$14))/('Deal Inputs'!$C$6+'Deal Inputs'!$C$30*'Deal Inputs'!$C$17*(1+$B25)*'Deal Inputs'!$C$18/'Deal Inputs'!$C$5))/'Transaction Model'!$C$5-1</f>
        <v>0.12279149035423509</v>
      </c>
      <c r="F25" s="30">
        <f>(('Deal Inputs'!$C$10+'Deal Inputs'!$C$22+((F$22+'Deal Inputs'!$C$34*'Deal Inputs'!$C$35)*'Deal Inputs'!$C$39-'Deal Inputs'!$C$32*'Deal Inputs'!$C$29*'Deal Inputs'!$C$17*(1+$B25)*'Deal Inputs'!$C$18-'Deal Inputs'!$C$13*('Deal Inputs'!$C$28*'Deal Inputs'!$C$17*(1+$B25)*'Deal Inputs'!$C$18+'Deal Inputs'!$C$37))*(1-'Deal Inputs'!$C$14))/('Deal Inputs'!$C$6+'Deal Inputs'!$C$30*'Deal Inputs'!$C$17*(1+$B25)*'Deal Inputs'!$C$18/'Deal Inputs'!$C$5))/'Transaction Model'!$C$5-1</f>
        <v>0.16646293551514102</v>
      </c>
      <c r="G25" s="30">
        <f>(('Deal Inputs'!$C$10+'Deal Inputs'!$C$22+((G$22+'Deal Inputs'!$C$34*'Deal Inputs'!$C$35)*'Deal Inputs'!$C$39-'Deal Inputs'!$C$32*'Deal Inputs'!$C$29*'Deal Inputs'!$C$17*(1+$B25)*'Deal Inputs'!$C$18-'Deal Inputs'!$C$13*('Deal Inputs'!$C$28*'Deal Inputs'!$C$17*(1+$B25)*'Deal Inputs'!$C$18+'Deal Inputs'!$C$37))*(1-'Deal Inputs'!$C$14))/('Deal Inputs'!$C$6+'Deal Inputs'!$C$30*'Deal Inputs'!$C$17*(1+$B25)*'Deal Inputs'!$C$18/'Deal Inputs'!$C$5))/'Transaction Model'!$C$5-1</f>
        <v>0.21013438067604717</v>
      </c>
      <c r="H25" s="5"/>
      <c r="I25" s="7"/>
      <c r="J25" s="7"/>
      <c r="K25" s="7"/>
      <c r="L25" s="7"/>
      <c r="M25" s="7"/>
      <c r="N25" s="7"/>
      <c r="O25" s="7"/>
      <c r="P25" s="7"/>
      <c r="Q25" s="5"/>
    </row>
    <row r="26" spans="2:17" x14ac:dyDescent="0.4">
      <c r="B26" s="80">
        <v>0.5</v>
      </c>
      <c r="C26" s="79">
        <f>(('Deal Inputs'!$C$10+'Deal Inputs'!$C$22+((C$22+'Deal Inputs'!$C$34*'Deal Inputs'!$C$35)*'Deal Inputs'!$C$39-'Deal Inputs'!$C$32*'Deal Inputs'!$C$29*'Deal Inputs'!$C$17*(1+$B26)*'Deal Inputs'!$C$18-'Deal Inputs'!$C$13*('Deal Inputs'!$C$28*'Deal Inputs'!$C$17*(1+$B26)*'Deal Inputs'!$C$18+'Deal Inputs'!$C$37))*(1-'Deal Inputs'!$C$14))/('Deal Inputs'!$C$6+'Deal Inputs'!$C$30*'Deal Inputs'!$C$17*(1+$B26)*'Deal Inputs'!$C$18/'Deal Inputs'!$C$5))/'Transaction Model'!$C$5-1</f>
        <v>1.3533028251455193E-2</v>
      </c>
      <c r="D26" s="30">
        <f>(('Deal Inputs'!$C$10+'Deal Inputs'!$C$22+((D$22+'Deal Inputs'!$C$34*'Deal Inputs'!$C$35)*'Deal Inputs'!$C$39-'Deal Inputs'!$C$32*'Deal Inputs'!$C$29*'Deal Inputs'!$C$17*(1+$B26)*'Deal Inputs'!$C$18-'Deal Inputs'!$C$13*('Deal Inputs'!$C$28*'Deal Inputs'!$C$17*(1+$B26)*'Deal Inputs'!$C$18+'Deal Inputs'!$C$37))*(1-'Deal Inputs'!$C$14))/('Deal Inputs'!$C$6+'Deal Inputs'!$C$30*'Deal Inputs'!$C$17*(1+$B26)*'Deal Inputs'!$C$18/'Deal Inputs'!$C$5))/'Transaction Model'!$C$5-1</f>
        <v>5.6757509025566533E-2</v>
      </c>
      <c r="E26" s="30">
        <f>(('Deal Inputs'!$C$10+'Deal Inputs'!$C$22+((E$22+'Deal Inputs'!$C$34*'Deal Inputs'!$C$35)*'Deal Inputs'!$C$39-'Deal Inputs'!$C$32*'Deal Inputs'!$C$29*'Deal Inputs'!$C$17*(1+$B26)*'Deal Inputs'!$C$18-'Deal Inputs'!$C$13*('Deal Inputs'!$C$28*'Deal Inputs'!$C$17*(1+$B26)*'Deal Inputs'!$C$18+'Deal Inputs'!$C$37))*(1-'Deal Inputs'!$C$14))/('Deal Inputs'!$C$6+'Deal Inputs'!$C$30*'Deal Inputs'!$C$17*(1+$B26)*'Deal Inputs'!$C$18/'Deal Inputs'!$C$5))/'Transaction Model'!$C$5-1</f>
        <v>9.9981989799677651E-2</v>
      </c>
      <c r="F26" s="30">
        <f>(('Deal Inputs'!$C$10+'Deal Inputs'!$C$22+((F$22+'Deal Inputs'!$C$34*'Deal Inputs'!$C$35)*'Deal Inputs'!$C$39-'Deal Inputs'!$C$32*'Deal Inputs'!$C$29*'Deal Inputs'!$C$17*(1+$B26)*'Deal Inputs'!$C$18-'Deal Inputs'!$C$13*('Deal Inputs'!$C$28*'Deal Inputs'!$C$17*(1+$B26)*'Deal Inputs'!$C$18+'Deal Inputs'!$C$37))*(1-'Deal Inputs'!$C$14))/('Deal Inputs'!$C$6+'Deal Inputs'!$C$30*'Deal Inputs'!$C$17*(1+$B26)*'Deal Inputs'!$C$18/'Deal Inputs'!$C$5))/'Transaction Model'!$C$5-1</f>
        <v>0.14320647057378877</v>
      </c>
      <c r="G26" s="30">
        <f>(('Deal Inputs'!$C$10+'Deal Inputs'!$C$22+((G$22+'Deal Inputs'!$C$34*'Deal Inputs'!$C$35)*'Deal Inputs'!$C$39-'Deal Inputs'!$C$32*'Deal Inputs'!$C$29*'Deal Inputs'!$C$17*(1+$B26)*'Deal Inputs'!$C$18-'Deal Inputs'!$C$13*('Deal Inputs'!$C$28*'Deal Inputs'!$C$17*(1+$B26)*'Deal Inputs'!$C$18+'Deal Inputs'!$C$37))*(1-'Deal Inputs'!$C$14))/('Deal Inputs'!$C$6+'Deal Inputs'!$C$30*'Deal Inputs'!$C$17*(1+$B26)*'Deal Inputs'!$C$18/'Deal Inputs'!$C$5))/'Transaction Model'!$C$5-1</f>
        <v>0.18643095134789989</v>
      </c>
      <c r="H26" s="5"/>
      <c r="I26" s="7"/>
      <c r="J26" s="7"/>
      <c r="K26" s="7"/>
      <c r="L26" s="7"/>
      <c r="M26" s="7"/>
      <c r="N26" s="7"/>
      <c r="O26" s="7"/>
      <c r="P26" s="7"/>
      <c r="Q26" s="5"/>
    </row>
    <row r="27" spans="2:17" x14ac:dyDescent="0.4">
      <c r="B27" s="80">
        <v>0.6</v>
      </c>
      <c r="C27" s="79">
        <f>(('Deal Inputs'!$C$10+'Deal Inputs'!$C$22+((C$22+'Deal Inputs'!$C$34*'Deal Inputs'!$C$35)*'Deal Inputs'!$C$39-'Deal Inputs'!$C$32*'Deal Inputs'!$C$29*'Deal Inputs'!$C$17*(1+$B27)*'Deal Inputs'!$C$18-'Deal Inputs'!$C$13*('Deal Inputs'!$C$28*'Deal Inputs'!$C$17*(1+$B27)*'Deal Inputs'!$C$18+'Deal Inputs'!$C$37))*(1-'Deal Inputs'!$C$14))/('Deal Inputs'!$C$6+'Deal Inputs'!$C$30*'Deal Inputs'!$C$17*(1+$B27)*'Deal Inputs'!$C$18/'Deal Inputs'!$C$5))/'Transaction Model'!$C$5-1</f>
        <v>-7.9384894394959327E-3</v>
      </c>
      <c r="D27" s="30">
        <f>(('Deal Inputs'!$C$10+'Deal Inputs'!$C$22+((D$22+'Deal Inputs'!$C$34*'Deal Inputs'!$C$35)*'Deal Inputs'!$C$39-'Deal Inputs'!$C$32*'Deal Inputs'!$C$29*'Deal Inputs'!$C$17*(1+$B27)*'Deal Inputs'!$C$18-'Deal Inputs'!$C$13*('Deal Inputs'!$C$28*'Deal Inputs'!$C$17*(1+$B27)*'Deal Inputs'!$C$18+'Deal Inputs'!$C$37))*(1-'Deal Inputs'!$C$14))/('Deal Inputs'!$C$6+'Deal Inputs'!$C$30*'Deal Inputs'!$C$17*(1+$B27)*'Deal Inputs'!$C$18/'Deal Inputs'!$C$5))/'Transaction Model'!$C$5-1</f>
        <v>3.4848083356023185E-2</v>
      </c>
      <c r="E27" s="30">
        <f>(('Deal Inputs'!$C$10+'Deal Inputs'!$C$22+((E$22+'Deal Inputs'!$C$34*'Deal Inputs'!$C$35)*'Deal Inputs'!$C$39-'Deal Inputs'!$C$32*'Deal Inputs'!$C$29*'Deal Inputs'!$C$17*(1+$B27)*'Deal Inputs'!$C$18-'Deal Inputs'!$C$13*('Deal Inputs'!$C$28*'Deal Inputs'!$C$17*(1+$B27)*'Deal Inputs'!$C$18+'Deal Inputs'!$C$37))*(1-'Deal Inputs'!$C$14))/('Deal Inputs'!$C$6+'Deal Inputs'!$C$30*'Deal Inputs'!$C$17*(1+$B27)*'Deal Inputs'!$C$18/'Deal Inputs'!$C$5))/'Transaction Model'!$C$5-1</f>
        <v>7.7634656151542192E-2</v>
      </c>
      <c r="F27" s="30">
        <f>(('Deal Inputs'!$C$10+'Deal Inputs'!$C$22+((F$22+'Deal Inputs'!$C$34*'Deal Inputs'!$C$35)*'Deal Inputs'!$C$39-'Deal Inputs'!$C$32*'Deal Inputs'!$C$29*'Deal Inputs'!$C$17*(1+$B27)*'Deal Inputs'!$C$18-'Deal Inputs'!$C$13*('Deal Inputs'!$C$28*'Deal Inputs'!$C$17*(1+$B27)*'Deal Inputs'!$C$18+'Deal Inputs'!$C$37))*(1-'Deal Inputs'!$C$14))/('Deal Inputs'!$C$6+'Deal Inputs'!$C$30*'Deal Inputs'!$C$17*(1+$B27)*'Deal Inputs'!$C$18/'Deal Inputs'!$C$5))/'Transaction Model'!$C$5-1</f>
        <v>0.1204212289470612</v>
      </c>
      <c r="G27" s="30">
        <f>(('Deal Inputs'!$C$10+'Deal Inputs'!$C$22+((G$22+'Deal Inputs'!$C$34*'Deal Inputs'!$C$35)*'Deal Inputs'!$C$39-'Deal Inputs'!$C$32*'Deal Inputs'!$C$29*'Deal Inputs'!$C$17*(1+$B27)*'Deal Inputs'!$C$18-'Deal Inputs'!$C$13*('Deal Inputs'!$C$28*'Deal Inputs'!$C$17*(1+$B27)*'Deal Inputs'!$C$18+'Deal Inputs'!$C$37))*(1-'Deal Inputs'!$C$14))/('Deal Inputs'!$C$6+'Deal Inputs'!$C$30*'Deal Inputs'!$C$17*(1+$B27)*'Deal Inputs'!$C$18/'Deal Inputs'!$C$5))/'Transaction Model'!$C$5-1</f>
        <v>0.16320780174258043</v>
      </c>
      <c r="H27" s="5"/>
      <c r="I27" s="7"/>
      <c r="J27" s="7"/>
      <c r="K27" s="7"/>
      <c r="L27" s="7"/>
      <c r="M27" s="7"/>
      <c r="N27" s="7"/>
      <c r="O27" s="7"/>
      <c r="P27" s="7"/>
      <c r="Q27" s="5"/>
    </row>
    <row r="28" spans="2:17" ht="31.8" customHeight="1" x14ac:dyDescent="0.4">
      <c r="B28" s="35" t="s">
        <v>157</v>
      </c>
      <c r="C28" s="35"/>
      <c r="D28" s="35"/>
      <c r="E28" s="35"/>
      <c r="F28" s="35"/>
      <c r="G28" s="35"/>
      <c r="H28" s="5"/>
      <c r="I28" s="7"/>
      <c r="J28" s="7"/>
      <c r="K28" s="7"/>
      <c r="L28" s="7"/>
      <c r="M28" s="7"/>
      <c r="N28" s="7"/>
      <c r="O28" s="7"/>
      <c r="P28" s="7"/>
      <c r="Q28" s="5"/>
    </row>
    <row r="29" spans="2:17" ht="21" customHeight="1" x14ac:dyDescent="0.4">
      <c r="B29" s="84" t="s">
        <v>158</v>
      </c>
      <c r="C29" s="78">
        <v>0.05</v>
      </c>
      <c r="D29" s="78">
        <v>0.06</v>
      </c>
      <c r="E29" s="78">
        <v>7.0000000000000007E-2</v>
      </c>
      <c r="F29" s="78">
        <v>0.08</v>
      </c>
      <c r="G29" s="78">
        <v>0.09</v>
      </c>
      <c r="H29" s="5"/>
      <c r="I29" s="7"/>
      <c r="J29" s="7"/>
      <c r="K29" s="7"/>
      <c r="L29" s="7"/>
      <c r="M29" s="7"/>
      <c r="N29" s="7"/>
      <c r="O29" s="7"/>
      <c r="P29" s="7"/>
      <c r="Q29" s="5"/>
    </row>
    <row r="30" spans="2:17" x14ac:dyDescent="0.4">
      <c r="B30" s="77">
        <v>0.15</v>
      </c>
      <c r="C30" s="88">
        <f>(('Deal Inputs'!$C$10+'Deal Inputs'!$C$22+('Transaction Model'!$F$39-C$29*$B30*'Transaction Model'!$C$15-'Transaction Model'!$C$31)*(1-'Deal Inputs'!$C$14))/('Deal Inputs'!$C$6+(1-'Deal Inputs'!$C$28-$B30)*'Transaction Model'!$C$15/'Deal Inputs'!$C$5))/'Transaction Model'!$C$5-1</f>
        <v>0.13609251466407613</v>
      </c>
      <c r="D30" s="88">
        <f>(('Deal Inputs'!$C$10+'Deal Inputs'!$C$22+('Transaction Model'!$F$39-D$29*$B30*'Transaction Model'!$C$15-'Transaction Model'!$C$31)*(1-'Deal Inputs'!$C$14))/('Deal Inputs'!$C$6+(1-'Deal Inputs'!$C$28-$B30)*'Transaction Model'!$C$15/'Deal Inputs'!$C$5))/'Transaction Model'!$C$5-1</f>
        <v>0.12892996455339811</v>
      </c>
      <c r="E30" s="88">
        <f>(('Deal Inputs'!$C$10+'Deal Inputs'!$C$22+('Transaction Model'!$F$39-E$29*$B30*'Transaction Model'!$C$15-'Transaction Model'!$C$31)*(1-'Deal Inputs'!$C$14))/('Deal Inputs'!$C$6+(1-'Deal Inputs'!$C$28-$B30)*'Transaction Model'!$C$15/'Deal Inputs'!$C$5))/'Transaction Model'!$C$5-1</f>
        <v>0.12176741444272032</v>
      </c>
      <c r="F30" s="88">
        <f>(('Deal Inputs'!$C$10+'Deal Inputs'!$C$22+('Transaction Model'!$F$39-F$29*$B30*'Transaction Model'!$C$15-'Transaction Model'!$C$31)*(1-'Deal Inputs'!$C$14))/('Deal Inputs'!$C$6+(1-'Deal Inputs'!$C$28-$B30)*'Transaction Model'!$C$15/'Deal Inputs'!$C$5))/'Transaction Model'!$C$5-1</f>
        <v>0.11460486433204276</v>
      </c>
      <c r="G30" s="88">
        <f>(('Deal Inputs'!$C$10+'Deal Inputs'!$C$22+('Transaction Model'!$F$39-G$29*$B30*'Transaction Model'!$C$15-'Transaction Model'!$C$31)*(1-'Deal Inputs'!$C$14))/('Deal Inputs'!$C$6+(1-'Deal Inputs'!$C$28-$B30)*'Transaction Model'!$C$15/'Deal Inputs'!$C$5))/'Transaction Model'!$C$5-1</f>
        <v>0.10744231422136474</v>
      </c>
      <c r="H30" s="5"/>
      <c r="I30" s="7"/>
      <c r="J30" s="7"/>
      <c r="K30" s="7"/>
      <c r="L30" s="7"/>
      <c r="M30" s="7"/>
      <c r="N30" s="7"/>
      <c r="O30" s="7"/>
      <c r="P30" s="7"/>
      <c r="Q30" s="5"/>
    </row>
    <row r="31" spans="2:17" x14ac:dyDescent="0.4">
      <c r="B31" s="77">
        <v>0.25</v>
      </c>
      <c r="C31" s="89">
        <f>(('Deal Inputs'!$C$10+'Deal Inputs'!$C$22+('Transaction Model'!$F$39-C$29*$B31*'Transaction Model'!$C$15-'Transaction Model'!$C$31)*(1-'Deal Inputs'!$C$14))/('Deal Inputs'!$C$6+(1-'Deal Inputs'!$C$28-$B31)*'Transaction Model'!$C$15/'Deal Inputs'!$C$5))/'Transaction Model'!$C$5-1</f>
        <v>0.14688279851287134</v>
      </c>
      <c r="D31" s="89">
        <f>(('Deal Inputs'!$C$10+'Deal Inputs'!$C$22+('Transaction Model'!$F$39-D$29*$B31*'Transaction Model'!$C$15-'Transaction Model'!$C$31)*(1-'Deal Inputs'!$C$14))/('Deal Inputs'!$C$6+(1-'Deal Inputs'!$C$28-$B31)*'Transaction Model'!$C$15/'Deal Inputs'!$C$5))/'Transaction Model'!$C$5-1</f>
        <v>0.13457314588826175</v>
      </c>
      <c r="E31" s="89">
        <f>(('Deal Inputs'!$C$10+'Deal Inputs'!$C$22+('Transaction Model'!$F$39-E$29*$B31*'Transaction Model'!$C$15-'Transaction Model'!$C$31)*(1-'Deal Inputs'!$C$14))/('Deal Inputs'!$C$6+(1-'Deal Inputs'!$C$28-$B31)*'Transaction Model'!$C$15/'Deal Inputs'!$C$5))/'Transaction Model'!$C$5-1</f>
        <v>0.12226349326365193</v>
      </c>
      <c r="F31" s="89">
        <f>(('Deal Inputs'!$C$10+'Deal Inputs'!$C$22+('Transaction Model'!$F$39-F$29*$B31*'Transaction Model'!$C$15-'Transaction Model'!$C$31)*(1-'Deal Inputs'!$C$14))/('Deal Inputs'!$C$6+(1-'Deal Inputs'!$C$28-$B31)*'Transaction Model'!$C$15/'Deal Inputs'!$C$5))/'Transaction Model'!$C$5-1</f>
        <v>0.10995384063904212</v>
      </c>
      <c r="G31" s="89">
        <f>(('Deal Inputs'!$C$10+'Deal Inputs'!$C$22+('Transaction Model'!$F$39-G$29*$B31*'Transaction Model'!$C$15-'Transaction Model'!$C$31)*(1-'Deal Inputs'!$C$14))/('Deal Inputs'!$C$6+(1-'Deal Inputs'!$C$28-$B31)*'Transaction Model'!$C$15/'Deal Inputs'!$C$5))/'Transaction Model'!$C$5-1</f>
        <v>9.7644188014432531E-2</v>
      </c>
      <c r="H31" s="5"/>
      <c r="I31" s="7"/>
      <c r="J31" s="7"/>
      <c r="K31" s="7"/>
      <c r="L31" s="7"/>
      <c r="M31" s="7"/>
      <c r="N31" s="7"/>
      <c r="O31" s="7"/>
      <c r="P31" s="7"/>
      <c r="Q31" s="5"/>
    </row>
    <row r="32" spans="2:17" x14ac:dyDescent="0.4">
      <c r="B32" s="77">
        <v>0.35</v>
      </c>
      <c r="C32" s="89">
        <f>(('Deal Inputs'!$C$10+'Deal Inputs'!$C$22+('Transaction Model'!$F$39-C$29*$B32*'Transaction Model'!$C$15-'Transaction Model'!$C$31)*(1-'Deal Inputs'!$C$14))/('Deal Inputs'!$C$6+(1-'Deal Inputs'!$C$28-$B32)*'Transaction Model'!$C$15/'Deal Inputs'!$C$5))/'Transaction Model'!$C$5-1</f>
        <v>0.15836734136843811</v>
      </c>
      <c r="D32" s="89">
        <f>(('Deal Inputs'!$C$10+'Deal Inputs'!$C$22+('Transaction Model'!$F$39-D$29*$B32*'Transaction Model'!$C$15-'Transaction Model'!$C$31)*(1-'Deal Inputs'!$C$14))/('Deal Inputs'!$C$6+(1-'Deal Inputs'!$C$28-$B32)*'Transaction Model'!$C$15/'Deal Inputs'!$C$5))/'Transaction Model'!$C$5-1</f>
        <v>0.14057941586133649</v>
      </c>
      <c r="E32" s="89">
        <f>(('Deal Inputs'!$C$10+'Deal Inputs'!$C$22+('Transaction Model'!$F$39-E$29*$B32*'Transaction Model'!$C$15-'Transaction Model'!$C$31)*(1-'Deal Inputs'!$C$14))/('Deal Inputs'!$C$6+(1-'Deal Inputs'!$C$28-$B32)*'Transaction Model'!$C$15/'Deal Inputs'!$C$5))/'Transaction Model'!$C$5-1</f>
        <v>0.12279149035423509</v>
      </c>
      <c r="F32" s="89">
        <f>(('Deal Inputs'!$C$10+'Deal Inputs'!$C$22+('Transaction Model'!$F$39-F$29*$B32*'Transaction Model'!$C$15-'Transaction Model'!$C$31)*(1-'Deal Inputs'!$C$14))/('Deal Inputs'!$C$6+(1-'Deal Inputs'!$C$28-$B32)*'Transaction Model'!$C$15/'Deal Inputs'!$C$5))/'Transaction Model'!$C$5-1</f>
        <v>0.10500356484713347</v>
      </c>
      <c r="G32" s="89">
        <f>(('Deal Inputs'!$C$10+'Deal Inputs'!$C$22+('Transaction Model'!$F$39-G$29*$B32*'Transaction Model'!$C$15-'Transaction Model'!$C$31)*(1-'Deal Inputs'!$C$14))/('Deal Inputs'!$C$6+(1-'Deal Inputs'!$C$28-$B32)*'Transaction Model'!$C$15/'Deal Inputs'!$C$5))/'Transaction Model'!$C$5-1</f>
        <v>8.7215639340031847E-2</v>
      </c>
      <c r="H32" s="5"/>
      <c r="I32" s="7"/>
      <c r="J32" s="7"/>
      <c r="K32" s="7"/>
      <c r="L32" s="7"/>
      <c r="M32" s="7"/>
      <c r="N32" s="7"/>
      <c r="O32" s="7"/>
      <c r="P32" s="7"/>
      <c r="Q32" s="5"/>
    </row>
    <row r="33" spans="2:17" x14ac:dyDescent="0.4">
      <c r="B33" s="77">
        <v>0.45</v>
      </c>
      <c r="C33" s="89">
        <f>(('Deal Inputs'!$C$10+'Deal Inputs'!$C$22+('Transaction Model'!$F$39-C$29*$B33*'Transaction Model'!$C$15-'Transaction Model'!$C$31)*(1-'Deal Inputs'!$C$14))/('Deal Inputs'!$C$6+(1-'Deal Inputs'!$C$28-$B33)*'Transaction Model'!$C$15/'Deal Inputs'!$C$5))/'Transaction Model'!$C$5-1</f>
        <v>0.17061537455005138</v>
      </c>
      <c r="D33" s="89">
        <f>(('Deal Inputs'!$C$10+'Deal Inputs'!$C$22+('Transaction Model'!$F$39-D$29*$B33*'Transaction Model'!$C$15-'Transaction Model'!$C$31)*(1-'Deal Inputs'!$C$14))/('Deal Inputs'!$C$6+(1-'Deal Inputs'!$C$28-$B33)*'Transaction Model'!$C$15/'Deal Inputs'!$C$5))/'Transaction Model'!$C$5-1</f>
        <v>0.14698498157284323</v>
      </c>
      <c r="E33" s="89">
        <f>(('Deal Inputs'!$C$10+'Deal Inputs'!$C$22+('Transaction Model'!$F$39-E$29*$B33*'Transaction Model'!$C$15-'Transaction Model'!$C$31)*(1-'Deal Inputs'!$C$14))/('Deal Inputs'!$C$6+(1-'Deal Inputs'!$C$28-$B33)*'Transaction Model'!$C$15/'Deal Inputs'!$C$5))/'Transaction Model'!$C$5-1</f>
        <v>0.12335458859563531</v>
      </c>
      <c r="F33" s="89">
        <f>(('Deal Inputs'!$C$10+'Deal Inputs'!$C$22+('Transaction Model'!$F$39-F$29*$B33*'Transaction Model'!$C$15-'Transaction Model'!$C$31)*(1-'Deal Inputs'!$C$14))/('Deal Inputs'!$C$6+(1-'Deal Inputs'!$C$28-$B33)*'Transaction Model'!$C$15/'Deal Inputs'!$C$5))/'Transaction Model'!$C$5-1</f>
        <v>9.9724195618427602E-2</v>
      </c>
      <c r="G33" s="89">
        <f>(('Deal Inputs'!$C$10+'Deal Inputs'!$C$22+('Transaction Model'!$F$39-G$29*$B33*'Transaction Model'!$C$15-'Transaction Model'!$C$31)*(1-'Deal Inputs'!$C$14))/('Deal Inputs'!$C$6+(1-'Deal Inputs'!$C$28-$B33)*'Transaction Model'!$C$15/'Deal Inputs'!$C$5))/'Transaction Model'!$C$5-1</f>
        <v>7.6093802641219677E-2</v>
      </c>
      <c r="H33" s="5"/>
      <c r="I33" s="7"/>
      <c r="J33" s="7"/>
      <c r="K33" s="7"/>
      <c r="L33" s="7"/>
      <c r="M33" s="7"/>
      <c r="N33" s="7"/>
      <c r="O33" s="7"/>
      <c r="P33" s="7"/>
      <c r="Q33" s="5"/>
    </row>
    <row r="34" spans="2:17" x14ac:dyDescent="0.4">
      <c r="B34" s="77">
        <v>0.55000000000000004</v>
      </c>
      <c r="C34" s="89">
        <f>(('Deal Inputs'!$C$10+'Deal Inputs'!$C$22+('Transaction Model'!$F$39-C$29*$B34*'Transaction Model'!$C$15-'Transaction Model'!$C$31)*(1-'Deal Inputs'!$C$14))/('Deal Inputs'!$C$6+(1-'Deal Inputs'!$C$28-$B34)*'Transaction Model'!$C$15/'Deal Inputs'!$C$5))/'Transaction Model'!$C$5-1</f>
        <v>0.18370565084067225</v>
      </c>
      <c r="D34" s="89">
        <f>(('Deal Inputs'!$C$10+'Deal Inputs'!$C$22+('Transaction Model'!$F$39-D$29*$B34*'Transaction Model'!$C$15-'Transaction Model'!$C$31)*(1-'Deal Inputs'!$C$14))/('Deal Inputs'!$C$6+(1-'Deal Inputs'!$C$28-$B34)*'Transaction Model'!$C$15/'Deal Inputs'!$C$5))/'Transaction Model'!$C$5-1</f>
        <v>0.15383102972751583</v>
      </c>
      <c r="E34" s="89">
        <f>(('Deal Inputs'!$C$10+'Deal Inputs'!$C$22+('Transaction Model'!$F$39-E$29*$B34*'Transaction Model'!$C$15-'Transaction Model'!$C$31)*(1-'Deal Inputs'!$C$14))/('Deal Inputs'!$C$6+(1-'Deal Inputs'!$C$28-$B34)*'Transaction Model'!$C$15/'Deal Inputs'!$C$5))/'Transaction Model'!$C$5-1</f>
        <v>0.12395640861435941</v>
      </c>
      <c r="F34" s="89">
        <f>(('Deal Inputs'!$C$10+'Deal Inputs'!$C$22+('Transaction Model'!$F$39-F$29*$B34*'Transaction Model'!$C$15-'Transaction Model'!$C$31)*(1-'Deal Inputs'!$C$14))/('Deal Inputs'!$C$6+(1-'Deal Inputs'!$C$28-$B34)*'Transaction Model'!$C$15/'Deal Inputs'!$C$5))/'Transaction Model'!$C$5-1</f>
        <v>9.4081787501203218E-2</v>
      </c>
      <c r="G34" s="89">
        <f>(('Deal Inputs'!$C$10+'Deal Inputs'!$C$22+('Transaction Model'!$F$39-G$29*$B34*'Transaction Model'!$C$15-'Transaction Model'!$C$31)*(1-'Deal Inputs'!$C$14))/('Deal Inputs'!$C$6+(1-'Deal Inputs'!$C$28-$B34)*'Transaction Model'!$C$15/'Deal Inputs'!$C$5))/'Transaction Model'!$C$5-1</f>
        <v>6.4207166388046799E-2</v>
      </c>
      <c r="H34" s="5"/>
      <c r="I34" s="7"/>
      <c r="J34" s="7"/>
      <c r="K34" s="7"/>
      <c r="L34" s="7"/>
      <c r="M34" s="7"/>
      <c r="N34" s="7"/>
      <c r="O34" s="7"/>
      <c r="P34" s="7"/>
      <c r="Q34" s="5"/>
    </row>
    <row r="35" spans="2:17" x14ac:dyDescent="0.4">
      <c r="B35" s="85" t="s">
        <v>159</v>
      </c>
      <c r="C35" s="7"/>
      <c r="D35" s="7"/>
      <c r="E35" s="7"/>
      <c r="F35" s="7"/>
      <c r="G35" s="7"/>
      <c r="H35" s="5"/>
      <c r="I35" s="7"/>
      <c r="J35" s="7"/>
      <c r="K35" s="7"/>
      <c r="L35" s="7"/>
      <c r="M35" s="7"/>
      <c r="N35" s="7"/>
      <c r="O35" s="7"/>
      <c r="P35" s="7"/>
      <c r="Q35" s="5"/>
    </row>
    <row r="36" spans="2:17" ht="26.4" customHeight="1" x14ac:dyDescent="0.4">
      <c r="B36" s="75" t="s">
        <v>174</v>
      </c>
      <c r="C36" s="75"/>
      <c r="D36" s="75"/>
      <c r="E36" s="75"/>
      <c r="F36" s="75"/>
      <c r="G36" s="75"/>
      <c r="H36" s="5"/>
      <c r="I36" s="7"/>
      <c r="J36" s="7"/>
      <c r="K36" s="7"/>
      <c r="L36" s="7"/>
      <c r="M36" s="7"/>
      <c r="N36" s="7"/>
      <c r="O36" s="7"/>
      <c r="P36" s="7"/>
      <c r="Q36" s="5"/>
    </row>
    <row r="37" spans="2:17" x14ac:dyDescent="0.4">
      <c r="B37" s="93" t="s">
        <v>173</v>
      </c>
      <c r="C37" s="93"/>
      <c r="D37" s="93"/>
      <c r="E37" s="93"/>
      <c r="F37" s="86"/>
      <c r="G37" s="86"/>
      <c r="H37" s="5"/>
      <c r="I37" s="7"/>
      <c r="J37" s="7"/>
      <c r="K37" s="7"/>
      <c r="L37" s="7"/>
      <c r="M37" s="7"/>
      <c r="N37" s="7"/>
      <c r="O37" s="7"/>
      <c r="P37" s="7"/>
      <c r="Q37" s="5"/>
    </row>
    <row r="38" spans="2:17" x14ac:dyDescent="0.4">
      <c r="B38" s="86"/>
      <c r="C38" s="94" t="s">
        <v>84</v>
      </c>
      <c r="D38" s="94" t="s">
        <v>85</v>
      </c>
      <c r="E38" s="94" t="s">
        <v>86</v>
      </c>
      <c r="F38" s="86"/>
      <c r="G38" s="86"/>
      <c r="H38" s="5"/>
      <c r="I38" s="7"/>
      <c r="J38" s="7"/>
      <c r="K38" s="7"/>
      <c r="L38" s="7"/>
      <c r="M38" s="7"/>
      <c r="N38" s="7"/>
      <c r="O38" s="7"/>
      <c r="P38" s="7"/>
      <c r="Q38" s="5"/>
    </row>
    <row r="39" spans="2:17" x14ac:dyDescent="0.4">
      <c r="B39" s="95" t="s">
        <v>160</v>
      </c>
      <c r="C39" s="96">
        <f>'Transaction Model'!$C$5</f>
        <v>2.1363636363636362</v>
      </c>
      <c r="D39" s="96">
        <f>'Transaction Model'!$C$5</f>
        <v>2.1363636363636362</v>
      </c>
      <c r="E39" s="96">
        <f>'Transaction Model'!$C$5</f>
        <v>2.1363636363636362</v>
      </c>
      <c r="F39" s="86"/>
      <c r="G39" s="86"/>
      <c r="H39" s="5"/>
      <c r="I39" s="7"/>
      <c r="J39" s="7"/>
      <c r="K39" s="7"/>
      <c r="L39" s="7"/>
      <c r="M39" s="7"/>
      <c r="N39" s="7"/>
      <c r="O39" s="7"/>
      <c r="P39" s="7"/>
      <c r="Q39" s="5"/>
    </row>
    <row r="40" spans="2:17" x14ac:dyDescent="0.4">
      <c r="B40" s="97" t="s">
        <v>97</v>
      </c>
      <c r="C40" s="96">
        <f>'Transaction Model'!E51</f>
        <v>1.9989669180531797</v>
      </c>
      <c r="D40" s="96">
        <f>'Transaction Model'!F51</f>
        <v>2.3986909112113204</v>
      </c>
      <c r="E40" s="96">
        <f>'Transaction Model'!G51</f>
        <v>2.4610840071528535</v>
      </c>
      <c r="F40" s="86"/>
      <c r="G40" s="86"/>
      <c r="H40" s="5"/>
      <c r="I40" s="7"/>
      <c r="J40" s="7"/>
      <c r="K40" s="7"/>
      <c r="L40" s="7"/>
      <c r="M40" s="7"/>
      <c r="N40" s="7"/>
      <c r="O40" s="7"/>
      <c r="P40" s="7"/>
      <c r="Q40" s="5"/>
    </row>
    <row r="41" spans="2:17" x14ac:dyDescent="0.4">
      <c r="B41" s="97" t="s">
        <v>93</v>
      </c>
      <c r="C41" s="98">
        <f>'Transaction Model'!E39</f>
        <v>53.5</v>
      </c>
      <c r="D41" s="98">
        <f>'Transaction Model'!F39</f>
        <v>85.600000000000009</v>
      </c>
      <c r="E41" s="98">
        <f>'Transaction Model'!G39</f>
        <v>107</v>
      </c>
      <c r="F41" s="86"/>
      <c r="G41" s="86"/>
      <c r="H41" s="5"/>
      <c r="I41" s="7"/>
      <c r="J41" s="7"/>
      <c r="K41" s="7"/>
      <c r="L41" s="7"/>
      <c r="M41" s="7"/>
      <c r="N41" s="7"/>
      <c r="O41" s="7"/>
      <c r="P41" s="7"/>
      <c r="Q41" s="5"/>
    </row>
    <row r="42" spans="2:17" x14ac:dyDescent="0.4">
      <c r="B42" s="86"/>
      <c r="C42" s="86"/>
      <c r="D42" s="86"/>
      <c r="E42" s="86"/>
      <c r="F42" s="86"/>
      <c r="G42" s="86"/>
      <c r="H42" s="5"/>
      <c r="I42" s="7"/>
      <c r="J42" s="7"/>
      <c r="K42" s="7"/>
      <c r="L42" s="7"/>
      <c r="M42" s="7"/>
      <c r="N42" s="7"/>
      <c r="O42" s="7"/>
      <c r="P42" s="7"/>
      <c r="Q42" s="5"/>
    </row>
    <row r="43" spans="2:17" x14ac:dyDescent="0.4">
      <c r="B43" s="99" t="s">
        <v>161</v>
      </c>
      <c r="C43" s="87"/>
      <c r="D43" s="86"/>
      <c r="E43" s="86"/>
      <c r="F43" s="86"/>
      <c r="G43" s="86"/>
      <c r="H43" s="5"/>
      <c r="I43" s="7"/>
      <c r="J43" s="7"/>
      <c r="K43" s="7"/>
      <c r="L43" s="7"/>
      <c r="M43" s="7"/>
      <c r="N43" s="7"/>
      <c r="O43" s="7"/>
      <c r="P43" s="7"/>
      <c r="Q43" s="5"/>
    </row>
    <row r="44" spans="2:17" x14ac:dyDescent="0.4">
      <c r="B44" s="97" t="s">
        <v>162</v>
      </c>
      <c r="C44" s="100">
        <f>'Transaction Model'!C22</f>
        <v>744.8</v>
      </c>
      <c r="D44" s="86"/>
      <c r="E44" s="86"/>
      <c r="F44" s="86"/>
      <c r="G44" s="86"/>
      <c r="H44" s="5"/>
      <c r="I44" s="7"/>
      <c r="J44" s="7"/>
      <c r="K44" s="7"/>
      <c r="L44" s="7"/>
      <c r="M44" s="7"/>
      <c r="N44" s="7"/>
      <c r="O44" s="7"/>
      <c r="P44" s="7"/>
      <c r="Q44" s="5"/>
    </row>
    <row r="45" spans="2:17" x14ac:dyDescent="0.4">
      <c r="B45" s="97" t="s">
        <v>163</v>
      </c>
      <c r="C45" s="100">
        <f>'Transaction Model'!C23</f>
        <v>1303.3999999999999</v>
      </c>
      <c r="D45" s="86"/>
      <c r="E45" s="86"/>
      <c r="F45" s="86"/>
      <c r="G45" s="86"/>
      <c r="H45" s="5"/>
      <c r="I45" s="5"/>
      <c r="J45" s="5"/>
      <c r="K45" s="5"/>
      <c r="L45" s="5"/>
      <c r="M45" s="5"/>
      <c r="N45" s="5"/>
      <c r="O45" s="5"/>
      <c r="P45" s="5"/>
      <c r="Q45" s="5"/>
    </row>
    <row r="46" spans="2:17" x14ac:dyDescent="0.4">
      <c r="B46" s="97" t="s">
        <v>164</v>
      </c>
      <c r="C46" s="100">
        <f>'Transaction Model'!C24</f>
        <v>1675.7999999999997</v>
      </c>
      <c r="D46" s="86"/>
      <c r="E46" s="86"/>
      <c r="F46" s="86"/>
      <c r="G46" s="86"/>
      <c r="H46" s="5"/>
      <c r="I46" s="5"/>
      <c r="J46" s="5"/>
      <c r="K46" s="5"/>
      <c r="L46" s="5"/>
      <c r="M46" s="5"/>
      <c r="N46" s="5"/>
      <c r="O46" s="5"/>
      <c r="P46" s="5"/>
      <c r="Q46" s="5"/>
    </row>
    <row r="47" spans="2:17" x14ac:dyDescent="0.4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  <row r="48" spans="2:17" x14ac:dyDescent="0.4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</row>
    <row r="49" spans="2:17" x14ac:dyDescent="0.4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2:17" x14ac:dyDescent="0.4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</sheetData>
  <mergeCells count="19">
    <mergeCell ref="B37:E37"/>
    <mergeCell ref="B36:G36"/>
    <mergeCell ref="D1:G1"/>
    <mergeCell ref="B1:C1"/>
    <mergeCell ref="B21:G21"/>
    <mergeCell ref="F13:G13"/>
    <mergeCell ref="B17:G20"/>
    <mergeCell ref="B16:G16"/>
    <mergeCell ref="B4:G4"/>
    <mergeCell ref="B28:G28"/>
    <mergeCell ref="F14:G14"/>
    <mergeCell ref="F5:G5"/>
    <mergeCell ref="F6:G6"/>
    <mergeCell ref="F7:G7"/>
    <mergeCell ref="F8:G8"/>
    <mergeCell ref="F9:G9"/>
    <mergeCell ref="F10:G10"/>
    <mergeCell ref="F11:G11"/>
    <mergeCell ref="F12:G12"/>
  </mergeCells>
  <conditionalFormatting sqref="C23:G27">
    <cfRule type="colorScale" priority="6">
      <colorScale>
        <cfvo type="num" val="-0.15"/>
        <cfvo type="num" val="0"/>
        <cfvo type="num" val="0.15"/>
        <color rgb="FFF8CBAD"/>
        <color rgb="FFFFFFFF"/>
        <color rgb="FFC6E0B4"/>
      </colorScale>
    </cfRule>
  </conditionalFormatting>
  <conditionalFormatting sqref="C30:G34">
    <cfRule type="colorScale" priority="7">
      <colorScale>
        <cfvo type="num" val="-0.15"/>
        <cfvo type="num" val="0"/>
        <cfvo type="num" val="0.15"/>
        <color rgb="FFF8CBAD"/>
        <color rgb="FFFFFFFF"/>
        <color rgb="FFC6E0B4"/>
      </colorScale>
    </cfRule>
  </conditionalFormatting>
  <conditionalFormatting sqref="F5:F7">
    <cfRule type="cellIs" dxfId="3" priority="4" operator="greaterThan">
      <formula>0</formula>
    </cfRule>
    <cfRule type="cellIs" dxfId="2" priority="5" operator="lessThan">
      <formula>0</formula>
    </cfRule>
  </conditionalFormatting>
  <conditionalFormatting sqref="B17">
    <cfRule type="endsWith" dxfId="1" priority="1" operator="endsWith" text="ACCRETIVE">
      <formula>RIGHT(B17,LEN("ACCRETIVE"))="ACCRETIVE"</formula>
    </cfRule>
    <cfRule type="containsText" dxfId="0" priority="2" operator="containsText" text="DILUTIVE">
      <formula>NOT(ISERROR(SEARCH("DILUTIVE",B17)))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EA435B058C764E9A89B82744AF5286" ma:contentTypeVersion="15" ma:contentTypeDescription="Create a new document." ma:contentTypeScope="" ma:versionID="dc9d904f4f14fba393c50fc73940f938">
  <xsd:schema xmlns:xsd="http://www.w3.org/2001/XMLSchema" xmlns:xs="http://www.w3.org/2001/XMLSchema" xmlns:p="http://schemas.microsoft.com/office/2006/metadata/properties" xmlns:ns3="44f94ae9-501f-43b3-b62b-d78a5e33d2d9" xmlns:ns4="deaee3fc-21cd-49b9-a3e3-0dac5e91b80c" targetNamespace="http://schemas.microsoft.com/office/2006/metadata/properties" ma:root="true" ma:fieldsID="63704dc8975fdddb8227214a55ca9ccd" ns3:_="" ns4:_="">
    <xsd:import namespace="44f94ae9-501f-43b3-b62b-d78a5e33d2d9"/>
    <xsd:import namespace="deaee3fc-21cd-49b9-a3e3-0dac5e91b80c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f94ae9-501f-43b3-b62b-d78a5e33d2d9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ee3fc-21cd-49b9-a3e3-0dac5e91b80c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f94ae9-501f-43b3-b62b-d78a5e33d2d9" xsi:nil="true"/>
  </documentManagement>
</p:properties>
</file>

<file path=customXml/itemProps1.xml><?xml version="1.0" encoding="utf-8"?>
<ds:datastoreItem xmlns:ds="http://schemas.openxmlformats.org/officeDocument/2006/customXml" ds:itemID="{9CC0D9B5-155B-4DE9-84AA-E730DF2CD6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D64C8E-206A-4BE7-ABAC-47FB7DA5DD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f94ae9-501f-43b3-b62b-d78a5e33d2d9"/>
    <ds:schemaRef ds:uri="deaee3fc-21cd-49b9-a3e3-0dac5e91b8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2F4011-113B-4968-B4EF-EFBC3C1EE8C8}">
  <ds:schemaRefs>
    <ds:schemaRef ds:uri="http://www.w3.org/XML/1998/namespace"/>
    <ds:schemaRef ds:uri="deaee3fc-21cd-49b9-a3e3-0dac5e91b80c"/>
    <ds:schemaRef ds:uri="http://schemas.microsoft.com/office/2006/metadata/properties"/>
    <ds:schemaRef ds:uri="44f94ae9-501f-43b3-b62b-d78a5e33d2d9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Deal Inputs</vt:lpstr>
      <vt:lpstr>Transaction Model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Matthew Livingstone</cp:lastModifiedBy>
  <cp:revision>1</cp:revision>
  <dcterms:created xsi:type="dcterms:W3CDTF">2026-07-13T21:21:39Z</dcterms:created>
  <dcterms:modified xsi:type="dcterms:W3CDTF">2026-07-16T03:16:43Z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0x010100CDEA435B058C764E9A89B82744AF5286</vt:lpwstr>
  </property>
</Properties>
</file>