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tthew\Downloads\"/>
    </mc:Choice>
  </mc:AlternateContent>
  <xr:revisionPtr revIDLastSave="0" documentId="13_ncr:1_{598C5B8A-2DD6-451E-B8DE-1E3C1ABF28FF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Instructions" sheetId="1" r:id="rId1"/>
    <sheet name="Company Assessment" sheetId="2" r:id="rId2"/>
    <sheet name="Scoring Engine" sheetId="3" r:id="rId3"/>
    <sheet name="Risk Dashboard" sheetId="4" r:id="rId4"/>
    <sheet name="Methodology &amp; Benchmarks" sheetId="5" r:id="rId5"/>
  </sheets>
  <definedNames>
    <definedName name="ActiveEnvWeight">'Scoring Engine'!$J$39</definedName>
    <definedName name="ActiveGovWeight">'Scoring Engine'!$J$41</definedName>
    <definedName name="ActiveSocialWeight">'Scoring Engine'!$J$40</definedName>
    <definedName name="CompanyTypeList">'Methodology &amp; Benchmarks'!$S$24:$S$25</definedName>
    <definedName name="ControversyScale">'Scoring Engine'!$C$10</definedName>
    <definedName name="DataQualityLabels">'Methodology &amp; Benchmarks'!$K$24:$K$28</definedName>
    <definedName name="DataQualityScores">'Methodology &amp; Benchmarks'!$L$24:$L$28</definedName>
    <definedName name="ExposureLabels">'Methodology &amp; Benchmarks'!$G$24:$G$28</definedName>
    <definedName name="ExposureScores">'Methodology &amp; Benchmarks'!$H$24:$H$28</definedName>
    <definedName name="FactorActions">'Methodology &amp; Benchmarks'!$E$42:$E$65</definedName>
    <definedName name="FactorNames">'Methodology &amp; Benchmarks'!$C$42:$C$65</definedName>
    <definedName name="FineSeverityScores">'Methodology &amp; Benchmarks'!$O$24:$O$28</definedName>
    <definedName name="IndustryEnvWeights">'Methodology &amp; Benchmarks'!$C$24:$C$39</definedName>
    <definedName name="IndustryGovWeights">'Methodology &amp; Benchmarks'!$E$24:$E$39</definedName>
    <definedName name="IndustryList">'Methodology &amp; Benchmarks'!$B$24:$B$39</definedName>
    <definedName name="IndustrySocialWeights">'Methodology &amp; Benchmarks'!$D$24:$D$39</definedName>
    <definedName name="ManagementLabels">'Methodology &amp; Benchmarks'!$I$24:$I$28</definedName>
    <definedName name="ManagementScores">'Methodology &amp; Benchmarks'!$J$24:$J$28</definedName>
    <definedName name="MaxMitigation">'Scoring Engine'!$C$7</definedName>
    <definedName name="RecencyLabels">'Methodology &amp; Benchmarks'!$P$24:$P$28</definedName>
    <definedName name="RecencyScores">'Methodology &amp; Benchmarks'!$Q$24:$Q$28</definedName>
    <definedName name="ScenarioList">'Methodology &amp; Benchmarks'!$T$24:$T$27</definedName>
    <definedName name="SelectedScenario">'Scoring Engine'!$C$5</definedName>
    <definedName name="SeverityLabels">'Methodology &amp; Benchmarks'!$M$24:$M$28</definedName>
    <definedName name="SeverityMainScores">'Methodology &amp; Benchmarks'!$N$24:$N$28</definedName>
    <definedName name="UncertaintyFactor">'Scoring Engine'!$C$8</definedName>
    <definedName name="WeightBasisList">'Methodology &amp; Benchmarks'!$U$24:$U$26</definedName>
    <definedName name="YesNoList">'Methodology &amp; Benchmarks'!$R$24:$R$25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" i="4" l="1"/>
  <c r="Y4" i="4"/>
  <c r="Y5" i="4"/>
  <c r="Y6" i="4"/>
  <c r="Y7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B54" i="2"/>
  <c r="D21" i="5"/>
  <c r="D20" i="5"/>
  <c r="D19" i="5"/>
  <c r="D18" i="5"/>
  <c r="D17" i="5"/>
  <c r="D16" i="5"/>
  <c r="C83" i="4"/>
  <c r="B83" i="4"/>
  <c r="C82" i="4"/>
  <c r="B82" i="4"/>
  <c r="C81" i="4"/>
  <c r="B81" i="4"/>
  <c r="C80" i="4"/>
  <c r="B80" i="4"/>
  <c r="C79" i="4"/>
  <c r="B79" i="4"/>
  <c r="C78" i="4"/>
  <c r="B78" i="4"/>
  <c r="C77" i="4"/>
  <c r="B77" i="4"/>
  <c r="C76" i="4"/>
  <c r="B76" i="4"/>
  <c r="C75" i="4"/>
  <c r="B75" i="4"/>
  <c r="C74" i="4"/>
  <c r="B74" i="4"/>
  <c r="C73" i="4"/>
  <c r="B73" i="4"/>
  <c r="C72" i="4"/>
  <c r="B72" i="4"/>
  <c r="C71" i="4"/>
  <c r="B71" i="4"/>
  <c r="C70" i="4"/>
  <c r="B70" i="4"/>
  <c r="C69" i="4"/>
  <c r="B69" i="4"/>
  <c r="C68" i="4"/>
  <c r="B68" i="4"/>
  <c r="C67" i="4"/>
  <c r="B67" i="4"/>
  <c r="C66" i="4"/>
  <c r="B66" i="4"/>
  <c r="C65" i="4"/>
  <c r="B65" i="4"/>
  <c r="C64" i="4"/>
  <c r="B64" i="4"/>
  <c r="C63" i="4"/>
  <c r="B63" i="4"/>
  <c r="C62" i="4"/>
  <c r="B62" i="4"/>
  <c r="C61" i="4"/>
  <c r="B61" i="4"/>
  <c r="C60" i="4"/>
  <c r="B60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T12" i="4"/>
  <c r="Z11" i="4"/>
  <c r="T11" i="4"/>
  <c r="T10" i="4"/>
  <c r="T9" i="4"/>
  <c r="E5" i="4"/>
  <c r="B5" i="4"/>
  <c r="I55" i="3"/>
  <c r="H55" i="3"/>
  <c r="G55" i="3"/>
  <c r="I54" i="3"/>
  <c r="C52" i="3"/>
  <c r="I41" i="3"/>
  <c r="C41" i="3"/>
  <c r="D41" i="3" s="1"/>
  <c r="I40" i="3"/>
  <c r="C40" i="3"/>
  <c r="D40" i="3" s="1"/>
  <c r="I39" i="3"/>
  <c r="I42" i="3" s="1"/>
  <c r="C39" i="3"/>
  <c r="D39" i="3" s="1"/>
  <c r="S36" i="3"/>
  <c r="H36" i="3"/>
  <c r="I36" i="3" s="1"/>
  <c r="F36" i="3"/>
  <c r="G36" i="3" s="1"/>
  <c r="D36" i="3"/>
  <c r="E36" i="3" s="1"/>
  <c r="S35" i="3"/>
  <c r="H35" i="3"/>
  <c r="I35" i="3" s="1"/>
  <c r="F35" i="3"/>
  <c r="G35" i="3" s="1"/>
  <c r="D35" i="3"/>
  <c r="E35" i="3" s="1"/>
  <c r="S34" i="3"/>
  <c r="H34" i="3"/>
  <c r="I34" i="3" s="1"/>
  <c r="F34" i="3"/>
  <c r="G34" i="3" s="1"/>
  <c r="D34" i="3"/>
  <c r="E34" i="3" s="1"/>
  <c r="S33" i="3"/>
  <c r="H33" i="3"/>
  <c r="I33" i="3" s="1"/>
  <c r="F33" i="3"/>
  <c r="G33" i="3" s="1"/>
  <c r="D33" i="3"/>
  <c r="E33" i="3" s="1"/>
  <c r="S32" i="3"/>
  <c r="H32" i="3"/>
  <c r="I32" i="3" s="1"/>
  <c r="F32" i="3"/>
  <c r="G32" i="3" s="1"/>
  <c r="D32" i="3"/>
  <c r="E32" i="3" s="1"/>
  <c r="S31" i="3"/>
  <c r="H31" i="3"/>
  <c r="I31" i="3" s="1"/>
  <c r="F31" i="3"/>
  <c r="G31" i="3" s="1"/>
  <c r="D31" i="3"/>
  <c r="E31" i="3" s="1"/>
  <c r="S30" i="3"/>
  <c r="H30" i="3"/>
  <c r="I30" i="3" s="1"/>
  <c r="F30" i="3"/>
  <c r="G30" i="3" s="1"/>
  <c r="D30" i="3"/>
  <c r="E30" i="3" s="1"/>
  <c r="S29" i="3"/>
  <c r="H29" i="3"/>
  <c r="I29" i="3" s="1"/>
  <c r="F29" i="3"/>
  <c r="G29" i="3" s="1"/>
  <c r="D29" i="3"/>
  <c r="E29" i="3" s="1"/>
  <c r="S28" i="3"/>
  <c r="H28" i="3"/>
  <c r="I28" i="3" s="1"/>
  <c r="F28" i="3"/>
  <c r="G28" i="3" s="1"/>
  <c r="D28" i="3"/>
  <c r="E28" i="3" s="1"/>
  <c r="S27" i="3"/>
  <c r="H27" i="3"/>
  <c r="I27" i="3" s="1"/>
  <c r="F27" i="3"/>
  <c r="G27" i="3" s="1"/>
  <c r="D27" i="3"/>
  <c r="E27" i="3" s="1"/>
  <c r="S26" i="3"/>
  <c r="H26" i="3"/>
  <c r="I26" i="3" s="1"/>
  <c r="F26" i="3"/>
  <c r="G26" i="3" s="1"/>
  <c r="D26" i="3"/>
  <c r="E26" i="3" s="1"/>
  <c r="S25" i="3"/>
  <c r="H25" i="3"/>
  <c r="I25" i="3" s="1"/>
  <c r="F25" i="3"/>
  <c r="G25" i="3" s="1"/>
  <c r="D25" i="3"/>
  <c r="E25" i="3" s="1"/>
  <c r="S24" i="3"/>
  <c r="H24" i="3"/>
  <c r="I24" i="3" s="1"/>
  <c r="F24" i="3"/>
  <c r="G24" i="3" s="1"/>
  <c r="D24" i="3"/>
  <c r="E24" i="3" s="1"/>
  <c r="S23" i="3"/>
  <c r="H23" i="3"/>
  <c r="I23" i="3" s="1"/>
  <c r="F23" i="3"/>
  <c r="G23" i="3" s="1"/>
  <c r="D23" i="3"/>
  <c r="E23" i="3" s="1"/>
  <c r="S22" i="3"/>
  <c r="H22" i="3"/>
  <c r="I22" i="3" s="1"/>
  <c r="F22" i="3"/>
  <c r="G22" i="3" s="1"/>
  <c r="D22" i="3"/>
  <c r="E22" i="3" s="1"/>
  <c r="S21" i="3"/>
  <c r="H21" i="3"/>
  <c r="I21" i="3" s="1"/>
  <c r="F21" i="3"/>
  <c r="G21" i="3" s="1"/>
  <c r="D21" i="3"/>
  <c r="E21" i="3" s="1"/>
  <c r="S20" i="3"/>
  <c r="H20" i="3"/>
  <c r="I20" i="3" s="1"/>
  <c r="F20" i="3"/>
  <c r="G20" i="3" s="1"/>
  <c r="D20" i="3"/>
  <c r="E20" i="3" s="1"/>
  <c r="S19" i="3"/>
  <c r="H19" i="3"/>
  <c r="I19" i="3" s="1"/>
  <c r="F19" i="3"/>
  <c r="G19" i="3" s="1"/>
  <c r="D19" i="3"/>
  <c r="E19" i="3" s="1"/>
  <c r="S18" i="3"/>
  <c r="H18" i="3"/>
  <c r="I18" i="3" s="1"/>
  <c r="F18" i="3"/>
  <c r="G18" i="3" s="1"/>
  <c r="D18" i="3"/>
  <c r="E18" i="3" s="1"/>
  <c r="S17" i="3"/>
  <c r="H17" i="3"/>
  <c r="I17" i="3" s="1"/>
  <c r="F17" i="3"/>
  <c r="G17" i="3" s="1"/>
  <c r="D17" i="3"/>
  <c r="E17" i="3" s="1"/>
  <c r="S16" i="3"/>
  <c r="H16" i="3"/>
  <c r="I16" i="3" s="1"/>
  <c r="F16" i="3"/>
  <c r="G16" i="3" s="1"/>
  <c r="D16" i="3"/>
  <c r="E16" i="3" s="1"/>
  <c r="S15" i="3"/>
  <c r="H15" i="3"/>
  <c r="I15" i="3" s="1"/>
  <c r="F15" i="3"/>
  <c r="G15" i="3" s="1"/>
  <c r="D15" i="3"/>
  <c r="E15" i="3" s="1"/>
  <c r="S14" i="3"/>
  <c r="H14" i="3"/>
  <c r="I14" i="3" s="1"/>
  <c r="F14" i="3"/>
  <c r="G14" i="3" s="1"/>
  <c r="D14" i="3"/>
  <c r="E14" i="3" s="1"/>
  <c r="S13" i="3"/>
  <c r="H13" i="3"/>
  <c r="I13" i="3" s="1"/>
  <c r="F13" i="3"/>
  <c r="G13" i="3" s="1"/>
  <c r="D13" i="3"/>
  <c r="E13" i="3" s="1"/>
  <c r="C9" i="3"/>
  <c r="C6" i="3"/>
  <c r="C5" i="3"/>
  <c r="C53" i="3" s="1"/>
  <c r="F54" i="2"/>
  <c r="L13" i="3" l="1"/>
  <c r="L14" i="3"/>
  <c r="L31" i="3"/>
  <c r="L23" i="3"/>
  <c r="L15" i="3"/>
  <c r="L36" i="3"/>
  <c r="L22" i="3"/>
  <c r="L18" i="3"/>
  <c r="L34" i="3"/>
  <c r="L32" i="3"/>
  <c r="L29" i="3"/>
  <c r="L19" i="3"/>
  <c r="L26" i="3"/>
  <c r="L25" i="3"/>
  <c r="E72" i="4" s="1"/>
  <c r="L17" i="3"/>
  <c r="L33" i="3"/>
  <c r="L28" i="3"/>
  <c r="L20" i="3"/>
  <c r="L35" i="3"/>
  <c r="L30" i="3"/>
  <c r="L27" i="3"/>
  <c r="L16" i="3"/>
  <c r="L24" i="3"/>
  <c r="L21" i="3"/>
  <c r="H40" i="3"/>
  <c r="J40" i="3" s="1"/>
  <c r="H39" i="3"/>
  <c r="H41" i="3"/>
  <c r="J41" i="3" s="1"/>
  <c r="N36" i="3"/>
  <c r="G83" i="4"/>
  <c r="K36" i="3"/>
  <c r="U36" i="3"/>
  <c r="W36" i="3"/>
  <c r="V36" i="3"/>
  <c r="X36" i="3"/>
  <c r="N35" i="3"/>
  <c r="G82" i="4"/>
  <c r="K35" i="3"/>
  <c r="V35" i="3"/>
  <c r="W35" i="3"/>
  <c r="U35" i="3"/>
  <c r="X35" i="3"/>
  <c r="N34" i="3"/>
  <c r="G81" i="4"/>
  <c r="AA32" i="4"/>
  <c r="E81" i="4"/>
  <c r="K34" i="3"/>
  <c r="U34" i="3"/>
  <c r="V34" i="3"/>
  <c r="W34" i="3"/>
  <c r="X34" i="3"/>
  <c r="N33" i="3"/>
  <c r="G80" i="4"/>
  <c r="AA31" i="4"/>
  <c r="E80" i="4"/>
  <c r="K33" i="3"/>
  <c r="U33" i="3"/>
  <c r="V33" i="3"/>
  <c r="W33" i="3"/>
  <c r="X33" i="3"/>
  <c r="N32" i="3"/>
  <c r="G79" i="4"/>
  <c r="AA30" i="4"/>
  <c r="E79" i="4"/>
  <c r="K32" i="3"/>
  <c r="U32" i="3"/>
  <c r="V32" i="3"/>
  <c r="W32" i="3"/>
  <c r="X32" i="3"/>
  <c r="N31" i="3"/>
  <c r="G78" i="4"/>
  <c r="AA29" i="4"/>
  <c r="E78" i="4"/>
  <c r="K31" i="3"/>
  <c r="U31" i="3"/>
  <c r="V31" i="3"/>
  <c r="W31" i="3"/>
  <c r="X31" i="3"/>
  <c r="N30" i="3"/>
  <c r="G77" i="4"/>
  <c r="AA28" i="4"/>
  <c r="E77" i="4"/>
  <c r="K30" i="3"/>
  <c r="X30" i="3"/>
  <c r="W30" i="3"/>
  <c r="U30" i="3"/>
  <c r="V30" i="3"/>
  <c r="N29" i="3"/>
  <c r="G76" i="4"/>
  <c r="E76" i="4"/>
  <c r="AA27" i="4"/>
  <c r="K29" i="3"/>
  <c r="X29" i="3"/>
  <c r="V29" i="3"/>
  <c r="U29" i="3"/>
  <c r="W29" i="3"/>
  <c r="N28" i="3"/>
  <c r="G75" i="4"/>
  <c r="E75" i="4"/>
  <c r="AA26" i="4"/>
  <c r="K28" i="3"/>
  <c r="V28" i="3"/>
  <c r="U28" i="3"/>
  <c r="W28" i="3"/>
  <c r="X28" i="3"/>
  <c r="N27" i="3"/>
  <c r="G74" i="4"/>
  <c r="AA25" i="4"/>
  <c r="E74" i="4"/>
  <c r="K27" i="3"/>
  <c r="U27" i="3"/>
  <c r="V27" i="3"/>
  <c r="W27" i="3"/>
  <c r="X27" i="3"/>
  <c r="N26" i="3"/>
  <c r="G73" i="4"/>
  <c r="K26" i="3"/>
  <c r="U26" i="3"/>
  <c r="V26" i="3"/>
  <c r="W26" i="3"/>
  <c r="X26" i="3"/>
  <c r="N25" i="3"/>
  <c r="G72" i="4"/>
  <c r="AA23" i="4"/>
  <c r="K25" i="3"/>
  <c r="U25" i="3"/>
  <c r="V25" i="3"/>
  <c r="W25" i="3"/>
  <c r="X25" i="3"/>
  <c r="N24" i="3"/>
  <c r="G71" i="4"/>
  <c r="AA22" i="4"/>
  <c r="E71" i="4"/>
  <c r="K24" i="3"/>
  <c r="U24" i="3"/>
  <c r="V24" i="3"/>
  <c r="W24" i="3"/>
  <c r="X24" i="3"/>
  <c r="N23" i="3"/>
  <c r="G70" i="4"/>
  <c r="E70" i="4"/>
  <c r="AA21" i="4"/>
  <c r="K23" i="3"/>
  <c r="U23" i="3"/>
  <c r="V23" i="3"/>
  <c r="W23" i="3"/>
  <c r="X23" i="3"/>
  <c r="G69" i="4"/>
  <c r="N22" i="3"/>
  <c r="E69" i="4"/>
  <c r="AA20" i="4"/>
  <c r="K22" i="3"/>
  <c r="V22" i="3"/>
  <c r="U22" i="3"/>
  <c r="X22" i="3"/>
  <c r="W22" i="3"/>
  <c r="N21" i="3"/>
  <c r="G68" i="4"/>
  <c r="AA19" i="4"/>
  <c r="E68" i="4"/>
  <c r="X21" i="3"/>
  <c r="V21" i="3"/>
  <c r="U21" i="3"/>
  <c r="W21" i="3"/>
  <c r="K21" i="3"/>
  <c r="N20" i="3"/>
  <c r="G67" i="4"/>
  <c r="AA18" i="4"/>
  <c r="E67" i="4"/>
  <c r="K20" i="3"/>
  <c r="U20" i="3"/>
  <c r="V20" i="3"/>
  <c r="W20" i="3"/>
  <c r="X20" i="3"/>
  <c r="N19" i="3"/>
  <c r="G66" i="4"/>
  <c r="AA17" i="4"/>
  <c r="E66" i="4"/>
  <c r="K19" i="3"/>
  <c r="U19" i="3"/>
  <c r="V19" i="3"/>
  <c r="W19" i="3"/>
  <c r="X19" i="3"/>
  <c r="N18" i="3"/>
  <c r="G65" i="4"/>
  <c r="E65" i="4"/>
  <c r="AA16" i="4"/>
  <c r="K18" i="3"/>
  <c r="U18" i="3"/>
  <c r="V18" i="3"/>
  <c r="W18" i="3"/>
  <c r="X18" i="3"/>
  <c r="N17" i="3"/>
  <c r="G64" i="4"/>
  <c r="E64" i="4"/>
  <c r="AA15" i="4"/>
  <c r="K17" i="3"/>
  <c r="U17" i="3"/>
  <c r="V17" i="3"/>
  <c r="W17" i="3"/>
  <c r="X17" i="3"/>
  <c r="N16" i="3"/>
  <c r="G63" i="4"/>
  <c r="K16" i="3"/>
  <c r="U16" i="3"/>
  <c r="V16" i="3"/>
  <c r="W16" i="3"/>
  <c r="X16" i="3"/>
  <c r="N15" i="3"/>
  <c r="G62" i="4"/>
  <c r="AA13" i="4"/>
  <c r="E62" i="4"/>
  <c r="K15" i="3"/>
  <c r="U15" i="3"/>
  <c r="V15" i="3"/>
  <c r="W15" i="3"/>
  <c r="X15" i="3"/>
  <c r="N14" i="3"/>
  <c r="G61" i="4"/>
  <c r="AA12" i="4"/>
  <c r="E61" i="4"/>
  <c r="K14" i="3"/>
  <c r="U14" i="3"/>
  <c r="V14" i="3"/>
  <c r="W14" i="3"/>
  <c r="X14" i="3"/>
  <c r="N13" i="3"/>
  <c r="G46" i="3"/>
  <c r="G48" i="3"/>
  <c r="G60" i="4"/>
  <c r="G47" i="3"/>
  <c r="E60" i="4"/>
  <c r="F47" i="3"/>
  <c r="AA11" i="4"/>
  <c r="F46" i="3"/>
  <c r="F48" i="3"/>
  <c r="K13" i="3"/>
  <c r="U13" i="3"/>
  <c r="V13" i="3"/>
  <c r="W13" i="3"/>
  <c r="X13" i="3"/>
  <c r="C54" i="3"/>
  <c r="AA33" i="4" l="1"/>
  <c r="E82" i="4"/>
  <c r="AA34" i="4"/>
  <c r="E83" i="4"/>
  <c r="AA24" i="4"/>
  <c r="E73" i="4"/>
  <c r="E63" i="4"/>
  <c r="AA14" i="4"/>
  <c r="H42" i="3"/>
  <c r="J39" i="3"/>
  <c r="P36" i="3"/>
  <c r="D83" i="4"/>
  <c r="M36" i="3"/>
  <c r="AB34" i="4"/>
  <c r="M35" i="3"/>
  <c r="P35" i="3"/>
  <c r="AB33" i="4"/>
  <c r="D82" i="4"/>
  <c r="M34" i="3"/>
  <c r="P34" i="3"/>
  <c r="AB32" i="4"/>
  <c r="D81" i="4"/>
  <c r="M33" i="3"/>
  <c r="P33" i="3"/>
  <c r="AB31" i="4"/>
  <c r="D80" i="4"/>
  <c r="M32" i="3"/>
  <c r="P32" i="3"/>
  <c r="AB30" i="4"/>
  <c r="D79" i="4"/>
  <c r="AB29" i="4"/>
  <c r="D78" i="4"/>
  <c r="M31" i="3"/>
  <c r="P31" i="3"/>
  <c r="M30" i="3"/>
  <c r="D77" i="4"/>
  <c r="P30" i="3"/>
  <c r="AB28" i="4"/>
  <c r="AB27" i="4"/>
  <c r="M29" i="3"/>
  <c r="P29" i="3"/>
  <c r="D76" i="4"/>
  <c r="M28" i="3"/>
  <c r="AB26" i="4"/>
  <c r="D75" i="4"/>
  <c r="P28" i="3"/>
  <c r="M27" i="3"/>
  <c r="P27" i="3"/>
  <c r="AB25" i="4"/>
  <c r="D74" i="4"/>
  <c r="M26" i="3"/>
  <c r="P26" i="3"/>
  <c r="D73" i="4"/>
  <c r="AB24" i="4"/>
  <c r="M25" i="3"/>
  <c r="P25" i="3"/>
  <c r="AB23" i="4"/>
  <c r="D72" i="4"/>
  <c r="M24" i="3"/>
  <c r="P24" i="3"/>
  <c r="AB22" i="4"/>
  <c r="D71" i="4"/>
  <c r="M23" i="3"/>
  <c r="P23" i="3"/>
  <c r="AB21" i="4"/>
  <c r="D70" i="4"/>
  <c r="AB20" i="4"/>
  <c r="P22" i="3"/>
  <c r="D69" i="4"/>
  <c r="M22" i="3"/>
  <c r="AB19" i="4"/>
  <c r="M21" i="3"/>
  <c r="D68" i="4"/>
  <c r="P21" i="3"/>
  <c r="M20" i="3"/>
  <c r="P20" i="3"/>
  <c r="D67" i="4"/>
  <c r="AB18" i="4"/>
  <c r="M19" i="3"/>
  <c r="P19" i="3"/>
  <c r="D66" i="4"/>
  <c r="AB17" i="4"/>
  <c r="M18" i="3"/>
  <c r="P18" i="3"/>
  <c r="D65" i="4"/>
  <c r="AB16" i="4"/>
  <c r="M17" i="3"/>
  <c r="P17" i="3"/>
  <c r="D64" i="4"/>
  <c r="AB15" i="4"/>
  <c r="M16" i="3"/>
  <c r="P16" i="3"/>
  <c r="D63" i="4"/>
  <c r="AB14" i="4"/>
  <c r="M15" i="3"/>
  <c r="P15" i="3"/>
  <c r="AB13" i="4"/>
  <c r="D62" i="4"/>
  <c r="M14" i="3"/>
  <c r="P14" i="3"/>
  <c r="AB12" i="4"/>
  <c r="D61" i="4"/>
  <c r="M13" i="3"/>
  <c r="P13" i="3"/>
  <c r="D60" i="4"/>
  <c r="AB11" i="4"/>
  <c r="C46" i="3"/>
  <c r="C48" i="3"/>
  <c r="U5" i="4" s="1"/>
  <c r="C47" i="3"/>
  <c r="U4" i="4" s="1"/>
  <c r="H48" i="2"/>
  <c r="H10" i="4"/>
  <c r="J55" i="3"/>
  <c r="U12" i="4" s="1"/>
  <c r="G49" i="3" l="1"/>
  <c r="K10" i="4" s="1"/>
  <c r="F49" i="3"/>
  <c r="J54" i="3"/>
  <c r="U11" i="4" s="1"/>
  <c r="J52" i="3"/>
  <c r="U9" i="4" s="1"/>
  <c r="J53" i="3"/>
  <c r="U10" i="4" s="1"/>
  <c r="J42" i="3"/>
  <c r="K41" i="3" s="1"/>
  <c r="Y13" i="3"/>
  <c r="Y14" i="3"/>
  <c r="O36" i="3"/>
  <c r="F83" i="4"/>
  <c r="O35" i="3"/>
  <c r="F82" i="4"/>
  <c r="O34" i="3"/>
  <c r="F81" i="4"/>
  <c r="O33" i="3"/>
  <c r="F80" i="4"/>
  <c r="O32" i="3"/>
  <c r="F79" i="4"/>
  <c r="O31" i="3"/>
  <c r="F78" i="4"/>
  <c r="O30" i="3"/>
  <c r="F77" i="4"/>
  <c r="F76" i="4"/>
  <c r="O29" i="3"/>
  <c r="O28" i="3"/>
  <c r="F75" i="4"/>
  <c r="O27" i="3"/>
  <c r="F74" i="4"/>
  <c r="O26" i="3"/>
  <c r="F73" i="4"/>
  <c r="O25" i="3"/>
  <c r="F72" i="4"/>
  <c r="O24" i="3"/>
  <c r="F71" i="4"/>
  <c r="O23" i="3"/>
  <c r="F70" i="4"/>
  <c r="O22" i="3"/>
  <c r="F69" i="4"/>
  <c r="F68" i="4"/>
  <c r="O21" i="3"/>
  <c r="O20" i="3"/>
  <c r="F67" i="4"/>
  <c r="O19" i="3"/>
  <c r="F66" i="4"/>
  <c r="O18" i="3"/>
  <c r="F65" i="4"/>
  <c r="O17" i="3"/>
  <c r="F64" i="4"/>
  <c r="O16" i="3"/>
  <c r="F63" i="4"/>
  <c r="O15" i="3"/>
  <c r="F62" i="4"/>
  <c r="O14" i="3"/>
  <c r="F61" i="4"/>
  <c r="O13" i="3"/>
  <c r="F60" i="4"/>
  <c r="D46" i="3"/>
  <c r="D47" i="3"/>
  <c r="V4" i="4" s="1"/>
  <c r="D48" i="3"/>
  <c r="V5" i="4" s="1"/>
  <c r="U3" i="4"/>
  <c r="C49" i="3"/>
  <c r="B10" i="4" s="1"/>
  <c r="Y32" i="3"/>
  <c r="Y28" i="3"/>
  <c r="Y26" i="3"/>
  <c r="Y25" i="3"/>
  <c r="Y24" i="3"/>
  <c r="Y23" i="3"/>
  <c r="Y22" i="3"/>
  <c r="Y15" i="3"/>
  <c r="Y21" i="3"/>
  <c r="Y20" i="3"/>
  <c r="Y19" i="3"/>
  <c r="Y18" i="3"/>
  <c r="Y17" i="3"/>
  <c r="Y34" i="3"/>
  <c r="Y33" i="3"/>
  <c r="Y31" i="3"/>
  <c r="Y30" i="3"/>
  <c r="Y29" i="3"/>
  <c r="Y16" i="3"/>
  <c r="Y36" i="3"/>
  <c r="Y35" i="3"/>
  <c r="Y27" i="3"/>
  <c r="K42" i="3" l="1"/>
  <c r="L37" i="3" s="1"/>
  <c r="K40" i="3"/>
  <c r="K39" i="3"/>
  <c r="W10" i="4"/>
  <c r="X10" i="4"/>
  <c r="Q36" i="3"/>
  <c r="H83" i="4"/>
  <c r="Q35" i="3"/>
  <c r="H82" i="4"/>
  <c r="Q34" i="3"/>
  <c r="H81" i="4"/>
  <c r="Q33" i="3"/>
  <c r="H80" i="4"/>
  <c r="Q32" i="3"/>
  <c r="H79" i="4"/>
  <c r="Q31" i="3"/>
  <c r="H78" i="4"/>
  <c r="Q30" i="3"/>
  <c r="H77" i="4"/>
  <c r="Q29" i="3"/>
  <c r="H76" i="4"/>
  <c r="Q28" i="3"/>
  <c r="H75" i="4"/>
  <c r="Q27" i="3"/>
  <c r="H74" i="4"/>
  <c r="Q26" i="3"/>
  <c r="H73" i="4"/>
  <c r="Q25" i="3"/>
  <c r="H72" i="4"/>
  <c r="Q24" i="3"/>
  <c r="H71" i="4"/>
  <c r="Q23" i="3"/>
  <c r="H70" i="4"/>
  <c r="H69" i="4"/>
  <c r="Q22" i="3"/>
  <c r="Q21" i="3"/>
  <c r="H68" i="4"/>
  <c r="Q20" i="3"/>
  <c r="H67" i="4"/>
  <c r="Q19" i="3"/>
  <c r="H66" i="4"/>
  <c r="Q18" i="3"/>
  <c r="H65" i="4"/>
  <c r="Q17" i="3"/>
  <c r="H64" i="4"/>
  <c r="Q16" i="3"/>
  <c r="H63" i="4"/>
  <c r="Q15" i="3"/>
  <c r="H62" i="4"/>
  <c r="Q14" i="3"/>
  <c r="H61" i="4"/>
  <c r="Q13" i="3"/>
  <c r="E47" i="3"/>
  <c r="H60" i="4"/>
  <c r="E46" i="3"/>
  <c r="E48" i="3"/>
  <c r="D49" i="3"/>
  <c r="E10" i="4" s="1"/>
  <c r="V3" i="4"/>
  <c r="W13" i="4"/>
  <c r="W11" i="4"/>
  <c r="W12" i="4"/>
  <c r="X12" i="4"/>
  <c r="X9" i="4"/>
  <c r="X13" i="4"/>
  <c r="X11" i="4"/>
  <c r="W9" i="4"/>
  <c r="R13" i="3" l="1"/>
  <c r="I60" i="4" s="1"/>
  <c r="R14" i="3"/>
  <c r="H47" i="3"/>
  <c r="W4" i="4"/>
  <c r="N5" i="4"/>
  <c r="H46" i="3"/>
  <c r="W3" i="4"/>
  <c r="E49" i="3"/>
  <c r="C55" i="3" s="1"/>
  <c r="W5" i="4"/>
  <c r="H48" i="3"/>
  <c r="R36" i="3"/>
  <c r="I83" i="4" s="1"/>
  <c r="R35" i="3"/>
  <c r="I82" i="4" s="1"/>
  <c r="R34" i="3"/>
  <c r="I81" i="4" s="1"/>
  <c r="R33" i="3"/>
  <c r="I80" i="4" s="1"/>
  <c r="R32" i="3"/>
  <c r="I79" i="4" s="1"/>
  <c r="R31" i="3"/>
  <c r="I78" i="4" s="1"/>
  <c r="R29" i="3"/>
  <c r="I76" i="4" s="1"/>
  <c r="R27" i="3"/>
  <c r="I74" i="4" s="1"/>
  <c r="R26" i="3"/>
  <c r="I73" i="4" s="1"/>
  <c r="R23" i="3"/>
  <c r="I70" i="4" s="1"/>
  <c r="R22" i="3"/>
  <c r="I69" i="4" s="1"/>
  <c r="R19" i="3"/>
  <c r="I66" i="4" s="1"/>
  <c r="R18" i="3"/>
  <c r="I65" i="4" s="1"/>
  <c r="R15" i="3"/>
  <c r="R30" i="3"/>
  <c r="I77" i="4" s="1"/>
  <c r="R24" i="3"/>
  <c r="I71" i="4" s="1"/>
  <c r="R20" i="3"/>
  <c r="I67" i="4" s="1"/>
  <c r="R17" i="3"/>
  <c r="I64" i="4" s="1"/>
  <c r="R28" i="3"/>
  <c r="I75" i="4" s="1"/>
  <c r="R25" i="3"/>
  <c r="I72" i="4" s="1"/>
  <c r="R21" i="3"/>
  <c r="I68" i="4" s="1"/>
  <c r="R16" i="3"/>
  <c r="I63" i="4" s="1"/>
  <c r="I61" i="4" l="1"/>
  <c r="B88" i="4"/>
  <c r="Z3" i="4"/>
  <c r="N10" i="4"/>
  <c r="C56" i="3"/>
  <c r="H5" i="4"/>
  <c r="H49" i="3"/>
  <c r="I62" i="4"/>
  <c r="B89" i="4"/>
  <c r="B90" i="4"/>
  <c r="B92" i="4"/>
  <c r="Z7" i="4"/>
  <c r="Z5" i="4"/>
  <c r="Z4" i="4"/>
  <c r="B91" i="4"/>
  <c r="Z6" i="4"/>
  <c r="K5" i="4" l="1"/>
  <c r="B53" i="4"/>
</calcChain>
</file>

<file path=xl/sharedStrings.xml><?xml version="1.0" encoding="utf-8"?>
<sst xmlns="http://schemas.openxmlformats.org/spreadsheetml/2006/main" count="715" uniqueCount="424">
  <si>
    <t>Corporate ESG Risk-Scoring Model</t>
  </si>
  <si>
    <t>A compact decision-support workbook for assessing inherent ESG exposure, management controls, residual risk, controversies, data confidence and scenario sensitivity.</t>
  </si>
  <si>
    <t>Purpose and Model Scope</t>
  </si>
  <si>
    <t>This workbook assesses one company at a time across 24 environmental, social and governance factors. It converts qualitative judgments into transparent numerical scores, applies management-control mitigation, adds a separate uncertainty load for weak data, and overlays material controversies. The result is a structured view of overall ESG risk, the company’s largest exposures, management gaps and priority actions.</t>
  </si>
  <si>
    <t>How the Model Works</t>
  </si>
  <si>
    <t>Six-Step Workflow</t>
  </si>
  <si>
    <t>Inherent risk</t>
  </si>
  <si>
    <t>The exposure before management controls. It reflects the nature and scale of the underlying ESG issue.</t>
  </si>
  <si>
    <t>1</t>
  </si>
  <si>
    <t>Enter company information</t>
  </si>
  <si>
    <t>Complete the company profile and confirm the reporting period.</t>
  </si>
  <si>
    <t>Management effectiveness</t>
  </si>
  <si>
    <t>The strength of systems, oversight and controls. Strong management reduces, but cannot eliminate, a material inherent risk.</t>
  </si>
  <si>
    <t>2</t>
  </si>
  <si>
    <t>Assess ESG exposures</t>
  </si>
  <si>
    <t>Select exposure ratings for all environmental, social and governance factors.</t>
  </si>
  <si>
    <t>Residual risk</t>
  </si>
  <si>
    <t>The exposure remaining after the model applies management effectiveness and the maximum-mitigation assumption.</t>
  </si>
  <si>
    <t>3</t>
  </si>
  <si>
    <t>Assess management controls</t>
  </si>
  <si>
    <t>Rate control effectiveness and record supporting evidence.</t>
  </si>
  <si>
    <t>Data confidence</t>
  </si>
  <si>
    <t>A separate measure of information quality. Poor data adds uncertainty without being treated as weak ESG performance itself.</t>
  </si>
  <si>
    <t>4</t>
  </si>
  <si>
    <t>Review residual risks</t>
  </si>
  <si>
    <t>Use the scoring engine and dashboard to identify material risk remaining after mitigation.</t>
  </si>
  <si>
    <t>Controversy adjustment</t>
  </si>
  <si>
    <t>A non-negative overlay based on severity, frequency, recency and material incident indicators.</t>
  </si>
  <si>
    <t>5</t>
  </si>
  <si>
    <t>Test scenarios</t>
  </si>
  <si>
    <t>Compare Base, Adverse, Improved Management and Custom outcomes.</t>
  </si>
  <si>
    <t>Final score</t>
  </si>
  <si>
    <t>Risk including uncertainty plus the controversy adjustment, capped at 100 and classified from Low to Very High.</t>
  </si>
  <si>
    <t>6</t>
  </si>
  <si>
    <t>Identify priority actions</t>
  </si>
  <si>
    <t>Use the ranked risks, management gaps and recommendations to focus attention.</t>
  </si>
  <si>
    <t>Formatting Legend</t>
  </si>
  <si>
    <t>Using the Dashboard</t>
  </si>
  <si>
    <t>Light blue</t>
  </si>
  <si>
    <t>User input</t>
  </si>
  <si>
    <t>Enter or select company-specific information.</t>
  </si>
  <si>
    <t>Summary cards</t>
  </si>
  <si>
    <t>Show the active company, final score, category, key exposures and data confidence.</t>
  </si>
  <si>
    <t>Pillar chart</t>
  </si>
  <si>
    <t>Compares inherent risk, residual risk and risk including uncertainty for E, S and G.</t>
  </si>
  <si>
    <t>Heat map</t>
  </si>
  <si>
    <t>Shows factor-level exposure, controls, residual risk, data quality and priority rank.</t>
  </si>
  <si>
    <t>Light green</t>
  </si>
  <si>
    <t>Positive / complete</t>
  </si>
  <si>
    <t>Generally indicates stronger controls, lower risk or complete inputs.</t>
  </si>
  <si>
    <t>Scenario chart</t>
  </si>
  <si>
    <t>Shows how the overall score changes under the four scenarios.</t>
  </si>
  <si>
    <t>Amber / yellow</t>
  </si>
  <si>
    <t>Moderate risk / warning</t>
  </si>
  <si>
    <t>Review assumptions, weights or emerging risk areas.</t>
  </si>
  <si>
    <t>Risk matrix</t>
  </si>
  <si>
    <t>Plots exposure against management effectiveness to identify critical issues.</t>
  </si>
  <si>
    <t>Red</t>
  </si>
  <si>
    <t>High risk</t>
  </si>
  <si>
    <t>Indicates material exposure, weak controls or a high-priority issue.</t>
  </si>
  <si>
    <t>Actions</t>
  </si>
  <si>
    <t>Generates five recommendations linked to the highest-priority risk factors.</t>
  </si>
  <si>
    <t>Important Limitations</t>
  </si>
  <si>
    <t>• The workbook relies partly on user judgment and may reflect incomplete or inconsistent ESG information.</t>
  </si>
  <si>
    <t>• Risk weights are modelling assumptions and should be adjusted for company-specific materiality.</t>
  </si>
  <si>
    <t>• Industry benchmarks are recommended starting points only.</t>
  </si>
  <si>
    <t>• A low score does not guarantee the absence of ESG problems, controversies or future losses.</t>
  </si>
  <si>
    <t>• Poor data quality increases uncertainty, but disclosure quality is not treated as equivalent to actual ESG performance.</t>
  </si>
  <si>
    <t>Primary input sheet — illustrative values are included so the model is immediately functional. Replace the light-blue cells with company-specific information.</t>
  </si>
  <si>
    <t>Section A — Company Profile</t>
  </si>
  <si>
    <t>Company name</t>
  </si>
  <si>
    <t>Northstar Metals Ltd.</t>
  </si>
  <si>
    <t>Industry</t>
  </si>
  <si>
    <t>Mining</t>
  </si>
  <si>
    <t>Headquarters country</t>
  </si>
  <si>
    <t>Canada</t>
  </si>
  <si>
    <t>Primary operating regions</t>
  </si>
  <si>
    <t>Canada; Chile; Peru</t>
  </si>
  <si>
    <t>Approximate annual revenue</t>
  </si>
  <si>
    <t>Number of employees</t>
  </si>
  <si>
    <t>Public or private company</t>
  </si>
  <si>
    <t>Public</t>
  </si>
  <si>
    <t>Primary products or services</t>
  </si>
  <si>
    <t>Copper and nickel mining</t>
  </si>
  <si>
    <t>Main customer groups</t>
  </si>
  <si>
    <t>Industrial manufacturers and commodity traders</t>
  </si>
  <si>
    <t>Main supplier regions</t>
  </si>
  <si>
    <t>North America; Latin America</t>
  </si>
  <si>
    <t>Reporting year</t>
  </si>
  <si>
    <t>Assessment date</t>
  </si>
  <si>
    <t>Assessor name</t>
  </si>
  <si>
    <t>Matthew Livingstone</t>
  </si>
  <si>
    <t>Notes</t>
  </si>
  <si>
    <t>Illustrative portfolio assessment. Replace all blue inputs before use.</t>
  </si>
  <si>
    <t>Section B — Environmental Risk Assessment</t>
  </si>
  <si>
    <t>Risk Factor</t>
  </si>
  <si>
    <t>Exposure Level</t>
  </si>
  <si>
    <t>Management Effectiveness</t>
  </si>
  <si>
    <t>Data Quality</t>
  </si>
  <si>
    <t>Notes / Evidence</t>
  </si>
  <si>
    <t>Greenhouse-gas emissions</t>
  </si>
  <si>
    <t>Very High</t>
  </si>
  <si>
    <t>Moderate</t>
  </si>
  <si>
    <t>Good</t>
  </si>
  <si>
    <t>High operational emissions; targets exist but are not yet fully aligned to a credible transition pathway.</t>
  </si>
  <si>
    <t>Energy consumption</t>
  </si>
  <si>
    <t>High</t>
  </si>
  <si>
    <t>Strong</t>
  </si>
  <si>
    <t>Energy-efficiency program and growing renewable electricity procurement.</t>
  </si>
  <si>
    <t>Climate-transition exposure</t>
  </si>
  <si>
    <t>Commodity demand is supportive, but carbon pricing and capital requirements remain material.</t>
  </si>
  <si>
    <t>Physical climate risk</t>
  </si>
  <si>
    <t>Limited</t>
  </si>
  <si>
    <t>Water scarcity and extreme weather risks are assessed inconsistently across sites.</t>
  </si>
  <si>
    <t>Water usage and water stress</t>
  </si>
  <si>
    <t>Weak</t>
  </si>
  <si>
    <t>Operations include high-stress basins; site-level targets are incomplete.</t>
  </si>
  <si>
    <t>Waste and hazardous materials</t>
  </si>
  <si>
    <t>Tailings and hazardous-material management systems exist; independent assurance is partial.</t>
  </si>
  <si>
    <t>Biodiversity and land-use impact</t>
  </si>
  <si>
    <t>Large land footprint and incomplete biodiversity baselines at expansion sites.</t>
  </si>
  <si>
    <t>Environmental compliance and pollution risk</t>
  </si>
  <si>
    <t>Recent spill and regulatory inspection findings increase attention.</t>
  </si>
  <si>
    <t>Section C — Social Risk Assessment</t>
  </si>
  <si>
    <t>Employee health and safety</t>
  </si>
  <si>
    <t>Safety systems are established, but serious-incident exposure remains material.</t>
  </si>
  <si>
    <t>Labour relations</t>
  </si>
  <si>
    <t>Stable collective bargaining relationships with localized grievance pressure.</t>
  </si>
  <si>
    <t>Employee turnover and retention</t>
  </si>
  <si>
    <t>Technical-talent competition is increasing in remote operating regions.</t>
  </si>
  <si>
    <t>Diversity, equity, and inclusion</t>
  </si>
  <si>
    <t>Representation goals exist, but senior leadership progress is uneven.</t>
  </si>
  <si>
    <t>Human rights</t>
  </si>
  <si>
    <t>Human-rights due diligence is developing and remediation reporting is limited.</t>
  </si>
  <si>
    <t>Supply-chain labour practices</t>
  </si>
  <si>
    <t>Poor</t>
  </si>
  <si>
    <t>Supplier screening coverage is incomplete beyond tier-one suppliers.</t>
  </si>
  <si>
    <t>Community and Indigenous relations</t>
  </si>
  <si>
    <t>Several operations depend on durable community and Indigenous relationships.</t>
  </si>
  <si>
    <t>Product safety and customer welfare</t>
  </si>
  <si>
    <t>Low</t>
  </si>
  <si>
    <t>Limited direct consumer exposure; product stewardship controls are established.</t>
  </si>
  <si>
    <t>Section D — Governance Risk Assessment</t>
  </si>
  <si>
    <t>Board independence and oversight</t>
  </si>
  <si>
    <t>Independent board with a sustainability mandate and quarterly oversight.</t>
  </si>
  <si>
    <t>Executive compensation alignment</t>
  </si>
  <si>
    <t>ESG metrics are included, but weighting and assurance remain limited.</t>
  </si>
  <si>
    <t>Business ethics and anti-corruption</t>
  </si>
  <si>
    <t>Operations in higher-risk jurisdictions are supported by third-party screening.</t>
  </si>
  <si>
    <t>Regulatory compliance</t>
  </si>
  <si>
    <t>Complex multi-jurisdictional permitting and regulatory obligations.</t>
  </si>
  <si>
    <t>Risk-management systems</t>
  </si>
  <si>
    <t>ESG risks are integrated into enterprise risk management.</t>
  </si>
  <si>
    <t>Data privacy and cybersecurity</t>
  </si>
  <si>
    <t>Operational technology risk and third-party access require stronger testing.</t>
  </si>
  <si>
    <t>Tax transparency</t>
  </si>
  <si>
    <t>Limited country-level tax disclosure.</t>
  </si>
  <si>
    <t>ESG reporting and disclosure quality</t>
  </si>
  <si>
    <t>Reporting is aligned to major frameworks, but data controls and assurance are incomplete.</t>
  </si>
  <si>
    <t>Section E — Controversies and Incidents</t>
  </si>
  <si>
    <t>Significant controversies in past 3 years</t>
  </si>
  <si>
    <t>Severity of largest controversy</t>
  </si>
  <si>
    <t>Serious</t>
  </si>
  <si>
    <t>Controversy ongoing?</t>
  </si>
  <si>
    <t>Yes</t>
  </si>
  <si>
    <t>Most recent incident timing</t>
  </si>
  <si>
    <t>Within 12 months</t>
  </si>
  <si>
    <t>Regulatory fines or penalties</t>
  </si>
  <si>
    <t>Major litigation</t>
  </si>
  <si>
    <t>Fatalities or serious workplace incidents</t>
  </si>
  <si>
    <t>Major environmental release or spill</t>
  </si>
  <si>
    <t>Human-rights allegations</t>
  </si>
  <si>
    <t>No</t>
  </si>
  <si>
    <t>Data breach or cybersecurity incident</t>
  </si>
  <si>
    <t>Restatement or misleading disclosure allegation</t>
  </si>
  <si>
    <t>Calculated controversy adjustment</t>
  </si>
  <si>
    <t>Section F — Scenario Selection and Weighting</t>
  </si>
  <si>
    <t>Selected scenario</t>
  </si>
  <si>
    <t>Base Case</t>
  </si>
  <si>
    <t>Pillar-weight approach</t>
  </si>
  <si>
    <t>Industry Recommended Weights</t>
  </si>
  <si>
    <t>Custom exposure adjustment</t>
  </si>
  <si>
    <t>Custom environmental weight</t>
  </si>
  <si>
    <t>Custom management adjustment</t>
  </si>
  <si>
    <t>Custom social weight</t>
  </si>
  <si>
    <t>Custom controversy adjustment</t>
  </si>
  <si>
    <t>Custom governance weight</t>
  </si>
  <si>
    <t>Scoring Engine</t>
  </si>
  <si>
    <t>Auditable calculation layer. Light-blue cells are user-adjustable assumptions or weights; white cells contain formulas.</t>
  </si>
  <si>
    <t>Model Controls</t>
  </si>
  <si>
    <t>The active scenario controls factor-level exposure and management scores.</t>
  </si>
  <si>
    <t>Pillar-weight basis</t>
  </si>
  <si>
    <t>Choose industry recommended, standard or custom pillar weights.</t>
  </si>
  <si>
    <t>Maximum mitigation</t>
  </si>
  <si>
    <t>Maximum share of inherent exposure that management can mitigate.</t>
  </si>
  <si>
    <t>Uncertainty factor</t>
  </si>
  <si>
    <t>Multiplier applied to the gap between perfect and assessed data quality.</t>
  </si>
  <si>
    <t>Selected industry</t>
  </si>
  <si>
    <t>Used only when industry-recommended pillar weights are selected.</t>
  </si>
  <si>
    <t>Controversy adjustment scale</t>
  </si>
  <si>
    <t>Converts the 0–100 controversy risk score into an additive point overlay.</t>
  </si>
  <si>
    <t>Factor-Level Scoring</t>
  </si>
  <si>
    <t>Pillar</t>
  </si>
  <si>
    <t>ESG Risk Factor</t>
  </si>
  <si>
    <t>Exposure Rating</t>
  </si>
  <si>
    <t>Exposure Score</t>
  </si>
  <si>
    <t>Management Rating</t>
  </si>
  <si>
    <t>Management Score</t>
  </si>
  <si>
    <t>Data Quality Score</t>
  </si>
  <si>
    <t>Factor Weight</t>
  </si>
  <si>
    <t>Scenario Exposure</t>
  </si>
  <si>
    <t>Scenario Management</t>
  </si>
  <si>
    <t>Residual Risk</t>
  </si>
  <si>
    <t>Uncertainty Adjustment</t>
  </si>
  <si>
    <t>Risk Including Uncertainty</t>
  </si>
  <si>
    <t>Management Gap</t>
  </si>
  <si>
    <t>Priority Score</t>
  </si>
  <si>
    <t>Priority Rank</t>
  </si>
  <si>
    <t>Recommended Action</t>
  </si>
  <si>
    <t>Factor ID</t>
  </si>
  <si>
    <t>Base Risk IU</t>
  </si>
  <si>
    <t>Adverse Risk IU</t>
  </si>
  <si>
    <t>Improved Mgmt Risk IU</t>
  </si>
  <si>
    <t>Custom Risk IU</t>
  </si>
  <si>
    <t>Management Gap Rank</t>
  </si>
  <si>
    <t>Environmental</t>
  </si>
  <si>
    <t>Social</t>
  </si>
  <si>
    <t>Governance</t>
  </si>
  <si>
    <t>Factor-Weight Checks</t>
  </si>
  <si>
    <t>Pillar Weights</t>
  </si>
  <si>
    <t>Weight Total</t>
  </si>
  <si>
    <t>Status</t>
  </si>
  <si>
    <t>Standard</t>
  </si>
  <si>
    <t>Industry Recommended</t>
  </si>
  <si>
    <t>Custom</t>
  </si>
  <si>
    <t>Active Weight</t>
  </si>
  <si>
    <t>Total</t>
  </si>
  <si>
    <t>Pillar and Overall Scores</t>
  </si>
  <si>
    <t>Inherent Risk</t>
  </si>
  <si>
    <t>Risk incl. Uncertainty</t>
  </si>
  <si>
    <t>Data Confidence</t>
  </si>
  <si>
    <t>Uncertainty Load</t>
  </si>
  <si>
    <t>Overall</t>
  </si>
  <si>
    <t>Controversy Adjustment and Final Score</t>
  </si>
  <si>
    <t>Scenario Analysis</t>
  </si>
  <si>
    <t>Metric</t>
  </si>
  <si>
    <t>Score / Result</t>
  </si>
  <si>
    <t>Logic</t>
  </si>
  <si>
    <t>Scenario</t>
  </si>
  <si>
    <t>Exposure Adj.</t>
  </si>
  <si>
    <t>Management Adj.</t>
  </si>
  <si>
    <t>Controversy Adj.</t>
  </si>
  <si>
    <t>Final ESG Score</t>
  </si>
  <si>
    <t>Base controversy risk score</t>
  </si>
  <si>
    <t>Severity + frequency + recency + incident overlays; measured from 0 to 100.</t>
  </si>
  <si>
    <t>Selected scenario controversy change</t>
  </si>
  <si>
    <t>Adverse +20%; improved management reduces ongoing adjustment by 15%; custom uses user input.</t>
  </si>
  <si>
    <t>Adverse Scenario</t>
  </si>
  <si>
    <t>Selected controversy adjustment (points)</t>
  </si>
  <si>
    <t>Controversy risk score × controversy scale × scenario adjustment; never below zero.</t>
  </si>
  <si>
    <t>Improved Management Scenario</t>
  </si>
  <si>
    <t>Final ESG risk score</t>
  </si>
  <si>
    <t>Risk including uncertainty + controversy adjustment points; capped at 100.</t>
  </si>
  <si>
    <t>Custom Scenario</t>
  </si>
  <si>
    <t>Risk category</t>
  </si>
  <si>
    <t>Low / Low to Moderate / Moderate / High / Very High.</t>
  </si>
  <si>
    <t>Risk Dashboard</t>
  </si>
  <si>
    <t>Executive view of overall ESG risk, pillar exposures, priority factors, scenarios and management gaps.</t>
  </si>
  <si>
    <t>COMPANY NAME</t>
  </si>
  <si>
    <t>INDUSTRY</t>
  </si>
  <si>
    <t>FINAL ESG RISK SCORE</t>
  </si>
  <si>
    <t>RISK CATEGORY</t>
  </si>
  <si>
    <t>HIGHEST-RISK PILLAR</t>
  </si>
  <si>
    <t>INHERENT RISK</t>
  </si>
  <si>
    <t>RESIDUAL RISK</t>
  </si>
  <si>
    <t>CONTROVERSY ADJUSTMENT</t>
  </si>
  <si>
    <t>DATA-CONFIDENCE SCORE</t>
  </si>
  <si>
    <t>HIGHEST-PRIORITY FACTOR</t>
  </si>
  <si>
    <t>Factor</t>
  </si>
  <si>
    <t>Management</t>
  </si>
  <si>
    <t>Exposure</t>
  </si>
  <si>
    <t>Executive Interpretation</t>
  </si>
  <si>
    <t>ESG Risk Heat Map</t>
  </si>
  <si>
    <t>Risk Matrix Guide</t>
  </si>
  <si>
    <t>High exposure / weak management — Critical Priority</t>
  </si>
  <si>
    <t>Critical Priority</t>
  </si>
  <si>
    <t>High exposure / strong management — Maintain Controls</t>
  </si>
  <si>
    <t>Maintain Controls</t>
  </si>
  <si>
    <t>Low exposure / weak management — Improve Management</t>
  </si>
  <si>
    <t>Improve Management</t>
  </si>
  <si>
    <t>Low exposure / strong management — Monitor | Reference point: 50 / 50</t>
  </si>
  <si>
    <t>Monitor</t>
  </si>
  <si>
    <t>Five Recommended Actions</t>
  </si>
  <si>
    <t>Methodology, scoring assumptions, lookup values, industry benchmarks and model limitations</t>
  </si>
  <si>
    <t>Methodology</t>
  </si>
  <si>
    <t>The level of ESG exposure before considering management systems or controls. It reflects the nature, scale and location of the company’s activities.</t>
  </si>
  <si>
    <t>The strength of policies, governance, processes, monitoring and corrective action used to manage an ESG exposure. Higher scores represent stronger controls.</t>
  </si>
  <si>
    <t>The risk remaining after applying the management mitigation effect. The model caps the maximum mitigation benefit so strong controls cannot eliminate a material exposure.</t>
  </si>
  <si>
    <t>The default assumption is 70%. Residual Risk = Exposure × [1 − (Management ÷ 100 × Maximum Mitigation)].</t>
  </si>
  <si>
    <t>Data uncertainty</t>
  </si>
  <si>
    <t>Poor information does not improve the core ESG score. It creates a separate uncertainty load: (100 − Data Quality) × Uncertainty Factor.</t>
  </si>
  <si>
    <t>A non-negative overlay based on severity, frequency, recency, ongoing status, penalties, litigation and material incident flags. The 0–100 controversy risk score is converted into additive points using a default 30% scale.</t>
  </si>
  <si>
    <t>Weighted pillar scoring</t>
  </si>
  <si>
    <t>Factor scores are normalized within Environmental, Social and Governance pillars. Pillar results are then combined using active pillar weights.</t>
  </si>
  <si>
    <t>Priority scoring</t>
  </si>
  <si>
    <t>Priority Score = Risk Including Uncertainty × Factor Weight. It ranks the issues requiring the greatest management attention.</t>
  </si>
  <si>
    <t>Scenario analysis</t>
  </si>
  <si>
    <t>The model compares Base, Adverse, Improved Management and Custom scenarios while preserving scores between 0 and 100.</t>
  </si>
  <si>
    <t>Worked Formula Example</t>
  </si>
  <si>
    <t>Step</t>
  </si>
  <si>
    <t>Input / Assumption</t>
  </si>
  <si>
    <t>Formula</t>
  </si>
  <si>
    <t>Result</t>
  </si>
  <si>
    <t>Interpretation</t>
  </si>
  <si>
    <t>Weighted Contribution</t>
  </si>
  <si>
    <t>1. Qualitative conversion</t>
  </si>
  <si>
    <t>Exposure = Very High</t>
  </si>
  <si>
    <t>Very High converts to 100.</t>
  </si>
  <si>
    <t>2. Management conversion</t>
  </si>
  <si>
    <t>Management = Very Strong</t>
  </si>
  <si>
    <t>Very Strong converts to 90.</t>
  </si>
  <si>
    <t>3. Residual risk</t>
  </si>
  <si>
    <t>Maximum mitigation = 70%</t>
  </si>
  <si>
    <t>Strong controls reduce, but do not eliminate, inherent risk.</t>
  </si>
  <si>
    <t>4. Uncertainty adjustment</t>
  </si>
  <si>
    <t>Data quality = Limited; factor = 15%</t>
  </si>
  <si>
    <t>Limited information adds 9 points of uncertainty.</t>
  </si>
  <si>
    <t>5. Risk incl. uncertainty</t>
  </si>
  <si>
    <t>Residual 37 + uncertainty 9</t>
  </si>
  <si>
    <t>The factor is assessed at 46 after uncertainty.</t>
  </si>
  <si>
    <t>6. Weighted contribution</t>
  </si>
  <si>
    <t>Factor weight = 18%</t>
  </si>
  <si>
    <t>Contribution to the normalized pillar score.</t>
  </si>
  <si>
    <t>Industry Benchmark Pillar Weights</t>
  </si>
  <si>
    <t>Rating Conversion and Validation Lists</t>
  </si>
  <si>
    <t>Score</t>
  </si>
  <si>
    <t>Severity</t>
  </si>
  <si>
    <t>Base Points</t>
  </si>
  <si>
    <t>Fine Points</t>
  </si>
  <si>
    <t>Incident Recency</t>
  </si>
  <si>
    <t>Points</t>
  </si>
  <si>
    <t>Yes / No</t>
  </si>
  <si>
    <t>Company Type</t>
  </si>
  <si>
    <t>Weight Basis</t>
  </si>
  <si>
    <t>Very Low</t>
  </si>
  <si>
    <t>Very Weak</t>
  </si>
  <si>
    <t>None</t>
  </si>
  <si>
    <t>Current / Ongoing</t>
  </si>
  <si>
    <t>Oil and Gas</t>
  </si>
  <si>
    <t>Minor</t>
  </si>
  <si>
    <t>Private</t>
  </si>
  <si>
    <t>Standard Weights</t>
  </si>
  <si>
    <t>Utilities</t>
  </si>
  <si>
    <t>1–2 years ago</t>
  </si>
  <si>
    <t>Custom Weights</t>
  </si>
  <si>
    <t>Manufacturing</t>
  </si>
  <si>
    <t>2–3 years ago</t>
  </si>
  <si>
    <t>Automotive</t>
  </si>
  <si>
    <t>Very Strong</t>
  </si>
  <si>
    <t>Excellent</t>
  </si>
  <si>
    <t>Severe</t>
  </si>
  <si>
    <t>Transportation and Logistics</t>
  </si>
  <si>
    <t>Technology</t>
  </si>
  <si>
    <t>Financial Services</t>
  </si>
  <si>
    <t>Consumer Goods</t>
  </si>
  <si>
    <t>Retail</t>
  </si>
  <si>
    <t>Agriculture and Food</t>
  </si>
  <si>
    <t>Construction and Real Estate</t>
  </si>
  <si>
    <t>Healthcare and Life Sciences</t>
  </si>
  <si>
    <t>Professional Services</t>
  </si>
  <si>
    <t>Telecommunications</t>
  </si>
  <si>
    <t>Other</t>
  </si>
  <si>
    <t>ESG Risk Definitions and Recommended Actions</t>
  </si>
  <si>
    <t>Plain-Language Definition</t>
  </si>
  <si>
    <t>Direct and value-chain emissions, emissions intensity, target credibility and transition exposure.</t>
  </si>
  <si>
    <t>Strengthen emissions targets, decarbonization plans and verified progress reporting.</t>
  </si>
  <si>
    <t>Energy intensity, energy source mix, efficiency and reliance on carbon-intensive power.</t>
  </si>
  <si>
    <t>Implement energy-efficiency initiatives and increase lower-carbon energy sourcing.</t>
  </si>
  <si>
    <t>Sensitivity to carbon pricing, technology shifts, regulation and changing customer demand.</t>
  </si>
  <si>
    <t>Develop a financed transition plan with milestones, capital allocation and accountability.</t>
  </si>
  <si>
    <t>Exposure of assets, suppliers and operations to acute and chronic climate hazards.</t>
  </si>
  <si>
    <t>Complete asset-level climate risk assessments and strengthen adaptation planning.</t>
  </si>
  <si>
    <t>Water withdrawals, discharge, basin stress and operational dependence on water availability.</t>
  </si>
  <si>
    <t>Set basin-specific water targets and expand water stewardship controls.</t>
  </si>
  <si>
    <t>Generation, storage, transport and disposal of waste, tailings and hazardous materials.</t>
  </si>
  <si>
    <t>Improve hazardous-material controls, waste reduction and independent assurance.</t>
  </si>
  <si>
    <t>Habitat disturbance, land conversion, restoration obligations and ecosystem dependencies.</t>
  </si>
  <si>
    <t>Adopt biodiversity baselines, avoidance plans and measurable restoration commitments.</t>
  </si>
  <si>
    <t>Permitting, pollution prevention, spills, releases, remediation and regulatory compliance.</t>
  </si>
  <si>
    <t>Tighten environmental compliance monitoring, incident prevention and remediation governance.</t>
  </si>
  <si>
    <t>Workplace hazards, serious injuries, fatalities, contractor safety and safety culture.</t>
  </si>
  <si>
    <t>Expand critical-risk controls, leading indicators and independent safety reviews.</t>
  </si>
  <si>
    <t>Union relations, bargaining stability, grievances, strikes and workforce consultation.</t>
  </si>
  <si>
    <t>Strengthen labour engagement, grievance management and workforce consultation.</t>
  </si>
  <si>
    <t>Ability to attract, develop and retain critical talent and manage workforce disruption.</t>
  </si>
  <si>
    <t>Develop retention plans for critical roles and improve workforce analytics.</t>
  </si>
  <si>
    <t>Representation, equitable access, inclusion, discrimination risk and pay fairness.</t>
  </si>
  <si>
    <t>Set measurable inclusion goals and strengthen pay-equity and promotion reviews.</t>
  </si>
  <si>
    <t>Potential adverse impacts on workers, communities and rights-holders across operations.</t>
  </si>
  <si>
    <t>Conduct human-rights due diligence and establish effective remediation channels.</t>
  </si>
  <si>
    <t>Supplier working conditions, forced labour, child labour and monitoring effectiveness.</t>
  </si>
  <si>
    <t>Expand supplier due diligence, risk-based audits and corrective-action tracking.</t>
  </si>
  <si>
    <t>Community impacts, consultation, consent, benefit sharing and social licence to operate.</t>
  </si>
  <si>
    <t>Strengthen early engagement, impact agreements and grievance resolution.</t>
  </si>
  <si>
    <t>Health, safety, responsible marketing, accessibility and customer impact of products.</t>
  </si>
  <si>
    <t>Improve product governance, customer safeguards and incident escalation.</t>
  </si>
  <si>
    <t>Board independence, expertise, committee mandates and oversight of material ESG risks.</t>
  </si>
  <si>
    <t>Clarify board accountability and strengthen ESG expertise and oversight cadence.</t>
  </si>
  <si>
    <t>Whether incentives reward durable performance and appropriately reflect material ESG outcomes.</t>
  </si>
  <si>
    <t>Link executive incentives to measurable, auditable ESG performance indicators.</t>
  </si>
  <si>
    <t>Bribery, fraud, conflicts, whistleblowing, third-party risk and ethical culture.</t>
  </si>
  <si>
    <t>Enhance anti-corruption controls, third-party screening and speak-up protections.</t>
  </si>
  <si>
    <t>Systems for identifying, implementing and monitoring legal and regulatory obligations.</t>
  </si>
  <si>
    <t>Improve compliance risk assessment, monitoring and escalation processes.</t>
  </si>
  <si>
    <t>Enterprise risk governance, control testing, accountability and emerging-risk processes.</t>
  </si>
  <si>
    <t>Integrate ESG risks into enterprise risk management and control assurance.</t>
  </si>
  <si>
    <t>Security governance, privacy compliance, resilience, incident response and third-party cyber risk.</t>
  </si>
  <si>
    <t>Strengthen cyber resilience, privacy controls and tested incident-response plans.</t>
  </si>
  <si>
    <t>Tax governance, aggressive tax planning, country-level transparency and stakeholder risk.</t>
  </si>
  <si>
    <t>Formalize responsible tax principles and improve tax transparency.</t>
  </si>
  <si>
    <t>Completeness, comparability, controls, assurance and credibility of sustainability reporting.</t>
  </si>
  <si>
    <t>Improve disclosure controls, data ownership and external assurance.</t>
  </si>
  <si>
    <t>Primary input sheet — Replace the light-blue cells with company-specific information.</t>
  </si>
  <si>
    <t xml:space="preserve">Dashboard Helper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</si>
</sst>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$#,##0"/>
    <numFmt numFmtId="166" formatCode="yyyy\-mm\-dd"/>
    <numFmt numFmtId="167" formatCode="0.0%"/>
  </numFmts>
  <fonts count="45">
    <font>
      <sz val="11"/>
      <name val="Carlito"/>
    </font>
    <font>
      <b/>
      <sz val="20"/>
      <color rgb="FFFFFFFF"/>
      <name val="Lato"/>
      <family val="2"/>
    </font>
    <font>
      <sz val="11"/>
      <name val="Lato"/>
      <family val="2"/>
    </font>
    <font>
      <b/>
      <sz val="12"/>
      <color rgb="FFFFFFFF"/>
      <name val="Lato"/>
      <family val="2"/>
    </font>
    <font>
      <b/>
      <sz val="20"/>
      <color rgb="FFFAF4E6"/>
      <name val="Lato"/>
      <family val="2"/>
    </font>
    <font>
      <b/>
      <sz val="12"/>
      <color rgb="FFDCE6F1"/>
      <name val="Lato"/>
      <family val="2"/>
    </font>
    <font>
      <b/>
      <sz val="16"/>
      <color rgb="FFFFFFFF"/>
      <name val="Lato"/>
      <family val="2"/>
    </font>
    <font>
      <sz val="16"/>
      <name val="Carlito"/>
    </font>
    <font>
      <b/>
      <sz val="10"/>
      <color rgb="FF1F3864"/>
      <name val="Lato"/>
      <family val="2"/>
    </font>
    <font>
      <sz val="10"/>
      <color rgb="FF1F3864"/>
      <name val="Lato"/>
      <family val="2"/>
    </font>
    <font>
      <b/>
      <sz val="11"/>
      <color rgb="FF1F3864"/>
      <name val="Lato"/>
      <family val="2"/>
    </font>
    <font>
      <b/>
      <sz val="16"/>
      <color theme="0"/>
      <name val="Lato"/>
      <family val="2"/>
    </font>
    <font>
      <i/>
      <sz val="10"/>
      <color theme="0"/>
      <name val="Lato"/>
      <family val="2"/>
    </font>
    <font>
      <sz val="11"/>
      <name val="Lato"/>
      <family val="2"/>
    </font>
    <font>
      <i/>
      <sz val="10"/>
      <color rgb="FF5B6573"/>
      <name val="Lato"/>
      <family val="2"/>
    </font>
    <font>
      <b/>
      <sz val="12"/>
      <color rgb="FFFFFFFF"/>
      <name val="Lato"/>
      <family val="2"/>
    </font>
    <font>
      <b/>
      <sz val="10"/>
      <color rgb="FF17324D"/>
      <name val="Lato"/>
      <family val="2"/>
    </font>
    <font>
      <sz val="10"/>
      <color rgb="FF1F1F1F"/>
      <name val="Lato"/>
      <family val="2"/>
    </font>
    <font>
      <b/>
      <sz val="10"/>
      <color rgb="FFFFFFFF"/>
      <name val="Lato"/>
      <family val="2"/>
    </font>
    <font>
      <b/>
      <sz val="11"/>
      <color rgb="FF17324D"/>
      <name val="Lato"/>
      <family val="2"/>
    </font>
    <font>
      <sz val="11"/>
      <color theme="0"/>
      <name val="Lato"/>
      <family val="2"/>
    </font>
    <font>
      <b/>
      <sz val="22"/>
      <color theme="0"/>
      <name val="Lato"/>
      <family val="2"/>
    </font>
    <font>
      <b/>
      <sz val="26"/>
      <color theme="0"/>
      <name val="Lato"/>
      <family val="2"/>
    </font>
    <font>
      <i/>
      <sz val="10"/>
      <color theme="0"/>
      <name val="Lato"/>
      <family val="2"/>
    </font>
    <font>
      <b/>
      <sz val="12"/>
      <color theme="0"/>
      <name val="Lato"/>
      <family val="2"/>
    </font>
    <font>
      <b/>
      <sz val="11"/>
      <color rgb="FFFFFFFF"/>
      <name val="Lato"/>
      <family val="2"/>
    </font>
    <font>
      <b/>
      <sz val="16"/>
      <color theme="0"/>
      <name val="Lato"/>
      <family val="2"/>
    </font>
    <font>
      <b/>
      <sz val="16"/>
      <color rgb="FFFFFFFF"/>
      <name val="Lato"/>
      <family val="2"/>
    </font>
    <font>
      <i/>
      <sz val="11"/>
      <color theme="0"/>
      <name val="Lato"/>
      <family val="2"/>
    </font>
    <font>
      <b/>
      <sz val="20"/>
      <color rgb="FFFFFFFF"/>
      <name val="Lato"/>
      <family val="2"/>
    </font>
    <font>
      <b/>
      <sz val="10"/>
      <color theme="0"/>
      <name val="Lato"/>
      <family val="2"/>
    </font>
    <font>
      <sz val="11"/>
      <color theme="0"/>
      <name val="Carlito"/>
    </font>
    <font>
      <sz val="10"/>
      <color rgb="FF1F3864"/>
      <name val="Lato"/>
      <family val="2"/>
    </font>
    <font>
      <sz val="11"/>
      <color rgb="FF1F3864"/>
      <name val="Lato"/>
      <family val="2"/>
    </font>
    <font>
      <b/>
      <sz val="10"/>
      <color rgb="FF1F3864"/>
      <name val="Lato"/>
      <family val="2"/>
    </font>
    <font>
      <b/>
      <sz val="20"/>
      <color rgb="FFFAF4E6"/>
      <name val="Lato"/>
      <family val="2"/>
    </font>
    <font>
      <sz val="11"/>
      <color rgb="FF1F1F1F"/>
      <name val="Lato"/>
      <family val="2"/>
    </font>
    <font>
      <sz val="9"/>
      <color rgb="FF17324D"/>
      <name val="Lato"/>
      <family val="2"/>
    </font>
    <font>
      <sz val="10"/>
      <color rgb="FF17324D"/>
      <name val="Lato"/>
      <family val="2"/>
    </font>
    <font>
      <b/>
      <sz val="12"/>
      <color rgb="FFFAF4E6"/>
      <name val="Lato"/>
      <family val="2"/>
    </font>
    <font>
      <b/>
      <sz val="18"/>
      <color rgb="FF17324D"/>
      <name val="Lato"/>
      <family val="2"/>
    </font>
    <font>
      <b/>
      <sz val="28"/>
      <color rgb="FFFAF4E6"/>
      <name val="Lato"/>
      <family val="2"/>
    </font>
    <font>
      <b/>
      <sz val="28"/>
      <color theme="0"/>
      <name val="Lato"/>
      <family val="2"/>
    </font>
    <font>
      <b/>
      <i/>
      <sz val="10"/>
      <color theme="0"/>
      <name val="Lato"/>
      <family val="2"/>
    </font>
    <font>
      <b/>
      <sz val="26"/>
      <color rgb="FFFFFFFF"/>
      <name val="Lato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F3F5F7"/>
      </patternFill>
    </fill>
    <fill>
      <patternFill patternType="solid">
        <fgColor rgb="FFF4CCCC"/>
      </patternFill>
    </fill>
    <fill>
      <patternFill patternType="solid">
        <fgColor rgb="FFDCE6F1"/>
        <bgColor indexed="64"/>
      </patternFill>
    </fill>
    <fill>
      <patternFill patternType="solid">
        <fgColor rgb="FF0E5690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8" borderId="0" xfId="0" applyFont="1" applyFill="1"/>
    <xf numFmtId="0" fontId="0" fillId="8" borderId="0" xfId="0" applyFill="1"/>
    <xf numFmtId="0" fontId="5" fillId="9" borderId="0" xfId="0" applyFont="1" applyFill="1" applyAlignment="1">
      <alignment vertical="center"/>
    </xf>
    <xf numFmtId="0" fontId="2" fillId="9" borderId="0" xfId="0" applyFont="1" applyFill="1"/>
    <xf numFmtId="0" fontId="3" fillId="9" borderId="0" xfId="0" applyFont="1" applyFill="1" applyAlignment="1">
      <alignment vertical="center"/>
    </xf>
    <xf numFmtId="0" fontId="0" fillId="9" borderId="0" xfId="0" applyFill="1"/>
    <xf numFmtId="0" fontId="6" fillId="9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8" borderId="0" xfId="0" applyFont="1" applyFill="1"/>
    <xf numFmtId="0" fontId="3" fillId="8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7" fillId="9" borderId="0" xfId="0" applyFont="1" applyFill="1"/>
    <xf numFmtId="0" fontId="13" fillId="0" borderId="0" xfId="0" applyFont="1"/>
    <xf numFmtId="0" fontId="17" fillId="2" borderId="0" xfId="0" applyFont="1" applyFill="1" applyAlignment="1">
      <alignment vertical="center" wrapText="1"/>
    </xf>
    <xf numFmtId="164" fontId="17" fillId="2" borderId="0" xfId="0" applyNumberFormat="1" applyFont="1" applyFill="1" applyAlignment="1">
      <alignment vertical="center" wrapText="1"/>
    </xf>
    <xf numFmtId="167" fontId="17" fillId="2" borderId="0" xfId="0" applyNumberFormat="1" applyFont="1" applyFill="1" applyAlignment="1">
      <alignment vertical="center" wrapText="1"/>
    </xf>
    <xf numFmtId="0" fontId="13" fillId="7" borderId="0" xfId="0" applyFont="1" applyFill="1"/>
    <xf numFmtId="0" fontId="21" fillId="8" borderId="0" xfId="0" applyFont="1" applyFill="1"/>
    <xf numFmtId="0" fontId="9" fillId="10" borderId="0" xfId="0" applyFont="1" applyFill="1" applyAlignment="1">
      <alignment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vertical="center" wrapText="1"/>
    </xf>
    <xf numFmtId="0" fontId="9" fillId="10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3" fillId="8" borderId="0" xfId="0" applyFont="1" applyFill="1"/>
    <xf numFmtId="0" fontId="13" fillId="9" borderId="0" xfId="0" applyFont="1" applyFill="1"/>
    <xf numFmtId="0" fontId="15" fillId="9" borderId="0" xfId="0" applyFont="1" applyFill="1" applyAlignment="1">
      <alignment vertical="center"/>
    </xf>
    <xf numFmtId="0" fontId="15" fillId="8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vertical="center"/>
    </xf>
    <xf numFmtId="0" fontId="19" fillId="9" borderId="0" xfId="0" applyFont="1" applyFill="1" applyAlignment="1">
      <alignment vertical="center" wrapText="1"/>
    </xf>
    <xf numFmtId="0" fontId="17" fillId="9" borderId="0" xfId="0" applyFont="1" applyFill="1" applyAlignment="1">
      <alignment vertical="center" wrapText="1"/>
    </xf>
    <xf numFmtId="0" fontId="19" fillId="8" borderId="0" xfId="0" applyFont="1" applyFill="1" applyAlignment="1">
      <alignment vertical="center" wrapText="1"/>
    </xf>
    <xf numFmtId="0" fontId="24" fillId="8" borderId="0" xfId="0" applyFont="1" applyFill="1" applyAlignment="1">
      <alignment vertical="center" wrapText="1"/>
    </xf>
    <xf numFmtId="0" fontId="24" fillId="8" borderId="0" xfId="0" applyFont="1" applyFill="1" applyAlignment="1">
      <alignment horizontal="left" vertical="center" wrapText="1" indent="1"/>
    </xf>
    <xf numFmtId="0" fontId="20" fillId="8" borderId="0" xfId="0" applyFont="1" applyFill="1"/>
    <xf numFmtId="0" fontId="20" fillId="9" borderId="0" xfId="0" applyFont="1" applyFill="1"/>
    <xf numFmtId="0" fontId="28" fillId="9" borderId="0" xfId="0" applyFont="1" applyFill="1"/>
    <xf numFmtId="0" fontId="15" fillId="8" borderId="1" xfId="0" applyFont="1" applyFill="1" applyBorder="1" applyAlignment="1">
      <alignment vertical="center"/>
    </xf>
    <xf numFmtId="0" fontId="31" fillId="9" borderId="0" xfId="0" applyFont="1" applyFill="1"/>
    <xf numFmtId="0" fontId="32" fillId="7" borderId="0" xfId="0" applyFont="1" applyFill="1" applyAlignment="1">
      <alignment vertical="center" wrapText="1"/>
    </xf>
    <xf numFmtId="0" fontId="33" fillId="7" borderId="0" xfId="0" applyFont="1" applyFill="1"/>
    <xf numFmtId="0" fontId="32" fillId="7" borderId="0" xfId="0" applyFont="1" applyFill="1" applyAlignment="1">
      <alignment horizontal="center" vertical="center" wrapText="1"/>
    </xf>
    <xf numFmtId="164" fontId="32" fillId="7" borderId="0" xfId="0" applyNumberFormat="1" applyFont="1" applyFill="1" applyAlignment="1">
      <alignment horizontal="center" vertical="center" wrapText="1"/>
    </xf>
    <xf numFmtId="2" fontId="32" fillId="7" borderId="0" xfId="0" applyNumberFormat="1" applyFont="1" applyFill="1" applyAlignment="1">
      <alignment horizontal="center" vertical="center" wrapText="1"/>
    </xf>
    <xf numFmtId="9" fontId="32" fillId="7" borderId="0" xfId="0" applyNumberFormat="1" applyFont="1" applyFill="1" applyAlignment="1">
      <alignment horizontal="center" vertical="center" wrapText="1"/>
    </xf>
    <xf numFmtId="0" fontId="33" fillId="7" borderId="0" xfId="0" applyFont="1" applyFill="1" applyAlignment="1">
      <alignment horizontal="center"/>
    </xf>
    <xf numFmtId="0" fontId="34" fillId="7" borderId="0" xfId="0" applyFont="1" applyFill="1" applyAlignment="1">
      <alignment vertical="center" wrapText="1"/>
    </xf>
    <xf numFmtId="9" fontId="32" fillId="7" borderId="0" xfId="0" applyNumberFormat="1" applyFont="1" applyFill="1" applyAlignment="1">
      <alignment vertical="center" wrapText="1"/>
    </xf>
    <xf numFmtId="164" fontId="32" fillId="7" borderId="0" xfId="0" applyNumberFormat="1" applyFont="1" applyFill="1" applyAlignment="1">
      <alignment vertical="center" wrapText="1"/>
    </xf>
    <xf numFmtId="167" fontId="32" fillId="7" borderId="0" xfId="0" applyNumberFormat="1" applyFont="1" applyFill="1" applyAlignment="1">
      <alignment vertical="center" wrapText="1"/>
    </xf>
    <xf numFmtId="167" fontId="32" fillId="7" borderId="0" xfId="0" applyNumberFormat="1" applyFont="1" applyFill="1" applyAlignment="1">
      <alignment horizontal="center" vertical="center" wrapText="1"/>
    </xf>
    <xf numFmtId="164" fontId="32" fillId="2" borderId="0" xfId="0" applyNumberFormat="1" applyFont="1" applyFill="1" applyAlignment="1">
      <alignment horizontal="center" vertical="center" wrapText="1"/>
    </xf>
    <xf numFmtId="167" fontId="32" fillId="10" borderId="0" xfId="0" applyNumberFormat="1" applyFont="1" applyFill="1" applyAlignment="1">
      <alignment horizontal="center" vertical="center" wrapText="1"/>
    </xf>
    <xf numFmtId="1" fontId="32" fillId="7" borderId="0" xfId="0" applyNumberFormat="1" applyFont="1" applyFill="1" applyAlignment="1">
      <alignment vertical="center" wrapText="1"/>
    </xf>
    <xf numFmtId="9" fontId="32" fillId="10" borderId="0" xfId="0" applyNumberFormat="1" applyFont="1" applyFill="1" applyAlignment="1">
      <alignment vertical="center" wrapText="1"/>
    </xf>
    <xf numFmtId="0" fontId="22" fillId="8" borderId="1" xfId="0" applyFont="1" applyFill="1" applyBorder="1" applyAlignment="1">
      <alignment horizontal="left" vertical="center" indent="1"/>
    </xf>
    <xf numFmtId="0" fontId="22" fillId="9" borderId="1" xfId="0" applyFont="1" applyFill="1" applyBorder="1" applyAlignment="1">
      <alignment vertical="center"/>
    </xf>
    <xf numFmtId="0" fontId="28" fillId="9" borderId="1" xfId="0" applyFont="1" applyFill="1" applyBorder="1" applyAlignment="1">
      <alignment vertical="center"/>
    </xf>
    <xf numFmtId="0" fontId="28" fillId="8" borderId="1" xfId="0" applyFont="1" applyFill="1" applyBorder="1" applyAlignment="1">
      <alignment vertical="center"/>
    </xf>
    <xf numFmtId="164" fontId="32" fillId="2" borderId="0" xfId="0" applyNumberFormat="1" applyFont="1" applyFill="1" applyAlignment="1">
      <alignment vertical="center" wrapText="1"/>
    </xf>
    <xf numFmtId="1" fontId="32" fillId="2" borderId="0" xfId="0" applyNumberFormat="1" applyFont="1" applyFill="1" applyAlignment="1">
      <alignment vertical="center" wrapText="1"/>
    </xf>
    <xf numFmtId="0" fontId="14" fillId="9" borderId="0" xfId="0" applyFont="1" applyFill="1" applyAlignment="1">
      <alignment vertical="center" wrapText="1"/>
    </xf>
    <xf numFmtId="0" fontId="35" fillId="9" borderId="0" xfId="0" applyFont="1" applyFill="1" applyAlignment="1">
      <alignment vertical="center"/>
    </xf>
    <xf numFmtId="0" fontId="35" fillId="8" borderId="0" xfId="0" applyFont="1" applyFill="1" applyAlignment="1">
      <alignment vertical="center"/>
    </xf>
    <xf numFmtId="0" fontId="14" fillId="8" borderId="0" xfId="0" applyFont="1" applyFill="1" applyAlignment="1">
      <alignment vertical="center" wrapText="1"/>
    </xf>
    <xf numFmtId="0" fontId="15" fillId="9" borderId="0" xfId="0" applyFont="1" applyFill="1" applyAlignment="1">
      <alignment horizontal="center" vertical="center" wrapText="1"/>
    </xf>
    <xf numFmtId="0" fontId="42" fillId="8" borderId="0" xfId="0" applyFont="1" applyFill="1" applyAlignment="1">
      <alignment vertical="center"/>
    </xf>
    <xf numFmtId="0" fontId="42" fillId="9" borderId="0" xfId="0" applyFont="1" applyFill="1" applyAlignment="1">
      <alignment vertical="center"/>
    </xf>
    <xf numFmtId="0" fontId="30" fillId="8" borderId="0" xfId="0" applyFont="1" applyFill="1" applyAlignment="1">
      <alignment horizontal="left" vertical="center" wrapText="1" indent="1"/>
    </xf>
    <xf numFmtId="0" fontId="36" fillId="8" borderId="0" xfId="0" applyFont="1" applyFill="1" applyAlignment="1">
      <alignment vertical="center" wrapText="1"/>
    </xf>
    <xf numFmtId="0" fontId="34" fillId="4" borderId="0" xfId="0" applyFont="1" applyFill="1" applyAlignment="1">
      <alignment vertical="center" wrapText="1"/>
    </xf>
    <xf numFmtId="0" fontId="34" fillId="3" borderId="0" xfId="0" applyFont="1" applyFill="1" applyAlignment="1">
      <alignment vertical="center" wrapText="1"/>
    </xf>
    <xf numFmtId="0" fontId="34" fillId="6" borderId="0" xfId="0" applyFont="1" applyFill="1" applyAlignment="1">
      <alignment vertical="center" wrapText="1"/>
    </xf>
    <xf numFmtId="0" fontId="29" fillId="9" borderId="1" xfId="0" applyFont="1" applyFill="1" applyBorder="1" applyAlignment="1">
      <alignment vertical="center"/>
    </xf>
    <xf numFmtId="0" fontId="29" fillId="9" borderId="0" xfId="0" applyFont="1" applyFill="1" applyAlignment="1">
      <alignment vertical="center"/>
    </xf>
    <xf numFmtId="0" fontId="36" fillId="9" borderId="0" xfId="0" applyFont="1" applyFill="1" applyAlignment="1">
      <alignment vertical="center" wrapText="1"/>
    </xf>
    <xf numFmtId="0" fontId="29" fillId="8" borderId="0" xfId="0" applyFont="1" applyFill="1" applyAlignment="1">
      <alignment vertical="center"/>
    </xf>
    <xf numFmtId="0" fontId="17" fillId="8" borderId="0" xfId="0" applyFont="1" applyFill="1" applyAlignment="1">
      <alignment vertical="center" wrapText="1"/>
    </xf>
    <xf numFmtId="0" fontId="27" fillId="9" borderId="0" xfId="0" applyFont="1" applyFill="1" applyAlignment="1">
      <alignment horizontal="center" vertical="center"/>
    </xf>
    <xf numFmtId="0" fontId="32" fillId="7" borderId="0" xfId="0" applyFont="1" applyFill="1" applyAlignment="1">
      <alignment vertical="center" wrapText="1"/>
    </xf>
    <xf numFmtId="0" fontId="21" fillId="8" borderId="0" xfId="0" applyFont="1" applyFill="1" applyAlignment="1">
      <alignment horizontal="left" vertical="center" indent="1"/>
    </xf>
    <xf numFmtId="0" fontId="27" fillId="9" borderId="1" xfId="0" applyFont="1" applyFill="1" applyBorder="1" applyAlignment="1">
      <alignment horizontal="center" vertical="center" wrapText="1"/>
    </xf>
    <xf numFmtId="0" fontId="27" fillId="9" borderId="0" xfId="0" applyFont="1" applyFill="1" applyAlignment="1">
      <alignment horizontal="left" vertical="center" indent="1"/>
    </xf>
    <xf numFmtId="0" fontId="32" fillId="5" borderId="0" xfId="0" applyFont="1" applyFill="1" applyAlignment="1">
      <alignment horizontal="left" vertical="center" wrapText="1" indent="1"/>
    </xf>
    <xf numFmtId="0" fontId="27" fillId="9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left" vertical="center" indent="1"/>
    </xf>
    <xf numFmtId="0" fontId="13" fillId="7" borderId="0" xfId="0" applyFont="1" applyFill="1" applyAlignment="1">
      <alignment horizontal="center"/>
    </xf>
    <xf numFmtId="0" fontId="43" fillId="9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 indent="2"/>
    </xf>
    <xf numFmtId="0" fontId="11" fillId="9" borderId="0" xfId="0" applyFont="1" applyFill="1" applyAlignment="1">
      <alignment horizontal="center" vertical="center"/>
    </xf>
    <xf numFmtId="0" fontId="8" fillId="7" borderId="0" xfId="0" applyFont="1" applyFill="1" applyAlignment="1">
      <alignment vertical="center" wrapText="1"/>
    </xf>
    <xf numFmtId="9" fontId="9" fillId="10" borderId="0" xfId="0" applyNumberFormat="1" applyFont="1" applyFill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164" fontId="9" fillId="7" borderId="0" xfId="0" applyNumberFormat="1" applyFont="1" applyFill="1" applyAlignment="1">
      <alignment vertical="center" wrapText="1"/>
    </xf>
    <xf numFmtId="1" fontId="9" fillId="10" borderId="0" xfId="0" applyNumberFormat="1" applyFont="1" applyFill="1" applyAlignment="1">
      <alignment horizontal="center" vertical="center" wrapText="1"/>
    </xf>
    <xf numFmtId="1" fontId="9" fillId="10" borderId="0" xfId="0" applyNumberFormat="1" applyFont="1" applyFill="1" applyAlignment="1">
      <alignment horizontal="left" vertical="center" wrapText="1"/>
    </xf>
    <xf numFmtId="166" fontId="9" fillId="10" borderId="0" xfId="0" applyNumberFormat="1" applyFont="1" applyFill="1" applyAlignment="1">
      <alignment horizontal="left" vertical="center" wrapText="1"/>
    </xf>
    <xf numFmtId="0" fontId="9" fillId="10" borderId="0" xfId="0" applyFont="1" applyFill="1" applyAlignment="1">
      <alignment vertical="center" wrapText="1"/>
    </xf>
    <xf numFmtId="165" fontId="9" fillId="10" borderId="0" xfId="0" applyNumberFormat="1" applyFont="1" applyFill="1" applyAlignment="1">
      <alignment horizontal="left" vertical="center" wrapText="1"/>
    </xf>
    <xf numFmtId="3" fontId="9" fillId="10" borderId="0" xfId="0" applyNumberFormat="1" applyFont="1" applyFill="1" applyAlignment="1">
      <alignment horizontal="left" vertical="center" wrapText="1"/>
    </xf>
    <xf numFmtId="0" fontId="12" fillId="9" borderId="0" xfId="0" applyFont="1" applyFill="1" applyAlignment="1">
      <alignment horizontal="left" vertical="center" wrapText="1" indent="1"/>
    </xf>
    <xf numFmtId="0" fontId="11" fillId="9" borderId="0" xfId="0" applyFont="1" applyFill="1" applyAlignment="1">
      <alignment horizontal="left" vertical="center" indent="1"/>
    </xf>
    <xf numFmtId="0" fontId="33" fillId="7" borderId="0" xfId="0" applyFont="1" applyFill="1" applyAlignment="1">
      <alignment horizontal="center"/>
    </xf>
    <xf numFmtId="0" fontId="28" fillId="9" borderId="1" xfId="0" applyFont="1" applyFill="1" applyBorder="1" applyAlignment="1">
      <alignment horizontal="left" vertical="center" indent="1"/>
    </xf>
    <xf numFmtId="0" fontId="24" fillId="8" borderId="0" xfId="0" applyFont="1" applyFill="1" applyAlignment="1">
      <alignment horizontal="center" vertical="center"/>
    </xf>
    <xf numFmtId="0" fontId="26" fillId="9" borderId="0" xfId="0" applyFont="1" applyFill="1" applyAlignment="1">
      <alignment horizontal="center" vertical="center"/>
    </xf>
    <xf numFmtId="0" fontId="26" fillId="9" borderId="0" xfId="0" applyFont="1" applyFill="1" applyAlignment="1">
      <alignment horizontal="left" vertical="center" indent="1"/>
    </xf>
    <xf numFmtId="0" fontId="21" fillId="7" borderId="1" xfId="0" applyFont="1" applyFill="1" applyBorder="1" applyAlignment="1">
      <alignment horizontal="center"/>
    </xf>
    <xf numFmtId="0" fontId="38" fillId="7" borderId="0" xfId="0" applyFont="1" applyFill="1" applyAlignment="1">
      <alignment vertical="center" wrapText="1"/>
    </xf>
    <xf numFmtId="0" fontId="25" fillId="9" borderId="0" xfId="0" applyFont="1" applyFill="1" applyAlignment="1">
      <alignment horizontal="center" vertical="center"/>
    </xf>
    <xf numFmtId="0" fontId="37" fillId="7" borderId="0" xfId="0" applyFont="1" applyFill="1" applyAlignment="1">
      <alignment horizontal="center" vertical="center" wrapText="1"/>
    </xf>
    <xf numFmtId="0" fontId="33" fillId="7" borderId="0" xfId="0" applyFont="1" applyFill="1" applyAlignment="1">
      <alignment horizontal="left" vertical="center" wrapText="1"/>
    </xf>
    <xf numFmtId="0" fontId="16" fillId="7" borderId="0" xfId="0" applyFont="1" applyFill="1" applyAlignment="1">
      <alignment vertical="center" wrapText="1"/>
    </xf>
    <xf numFmtId="0" fontId="24" fillId="9" borderId="0" xfId="0" applyFont="1" applyFill="1" applyAlignment="1">
      <alignment horizontal="center" vertical="center"/>
    </xf>
    <xf numFmtId="164" fontId="40" fillId="4" borderId="0" xfId="0" applyNumberFormat="1" applyFont="1" applyFill="1" applyAlignment="1">
      <alignment horizontal="center" vertical="center" wrapText="1"/>
    </xf>
    <xf numFmtId="0" fontId="40" fillId="7" borderId="0" xfId="0" applyFont="1" applyFill="1" applyAlignment="1">
      <alignment horizontal="center" vertical="center" wrapText="1"/>
    </xf>
    <xf numFmtId="0" fontId="42" fillId="8" borderId="0" xfId="0" applyFont="1" applyFill="1" applyAlignment="1">
      <alignment horizontal="center" vertical="center"/>
    </xf>
    <xf numFmtId="164" fontId="40" fillId="7" borderId="0" xfId="0" applyNumberFormat="1" applyFont="1" applyFill="1" applyAlignment="1">
      <alignment horizontal="center" vertical="center" wrapText="1"/>
    </xf>
    <xf numFmtId="164" fontId="40" fillId="2" borderId="0" xfId="0" applyNumberFormat="1" applyFont="1" applyFill="1" applyAlignment="1">
      <alignment horizontal="center" vertical="center" wrapText="1"/>
    </xf>
    <xf numFmtId="0" fontId="39" fillId="9" borderId="0" xfId="0" applyFont="1" applyFill="1" applyAlignment="1">
      <alignment horizontal="center" vertical="center"/>
    </xf>
    <xf numFmtId="164" fontId="40" fillId="3" borderId="0" xfId="0" applyNumberFormat="1" applyFont="1" applyFill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35" fillId="7" borderId="0" xfId="0" applyFont="1" applyFill="1" applyAlignment="1">
      <alignment horizontal="center" vertical="center"/>
    </xf>
    <xf numFmtId="0" fontId="23" fillId="9" borderId="0" xfId="0" applyFont="1" applyFill="1" applyAlignment="1">
      <alignment horizontal="left" vertical="center" wrapText="1" indent="1"/>
    </xf>
    <xf numFmtId="0" fontId="41" fillId="8" borderId="0" xfId="0" applyFont="1" applyFill="1" applyAlignment="1">
      <alignment horizontal="left" vertical="center" indent="1"/>
    </xf>
    <xf numFmtId="0" fontId="32" fillId="7" borderId="0" xfId="0" applyFont="1" applyFill="1" applyAlignment="1">
      <alignment horizontal="left" vertical="center" wrapText="1" indent="1"/>
    </xf>
    <xf numFmtId="0" fontId="34" fillId="10" borderId="0" xfId="0" applyFont="1" applyFill="1" applyAlignment="1">
      <alignment vertical="center" wrapText="1"/>
    </xf>
    <xf numFmtId="0" fontId="34" fillId="9" borderId="0" xfId="0" applyFont="1" applyFill="1" applyAlignment="1">
      <alignment vertical="center" wrapText="1"/>
    </xf>
    <xf numFmtId="0" fontId="32" fillId="9" borderId="0" xfId="0" applyFont="1" applyFill="1" applyAlignment="1">
      <alignment vertical="center" wrapText="1"/>
    </xf>
  </cellXfs>
  <cellStyles count="1">
    <cellStyle name="Normal" xfId="0" builtinId="0"/>
  </cellStyles>
  <dxfs count="92">
    <dxf>
      <fill>
        <patternFill>
          <bgColor rgb="FFD9EAD3"/>
        </patternFill>
      </fill>
    </dxf>
    <dxf>
      <fill>
        <patternFill>
          <bgColor rgb="FFFFF2CC"/>
        </patternFill>
      </fill>
    </dxf>
    <dxf>
      <fill>
        <patternFill>
          <bgColor rgb="FFF4B183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B183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D9EAD3"/>
        </patternFill>
      </fill>
    </dxf>
    <dxf>
      <fill>
        <patternFill>
          <bgColor rgb="FFF4CCCC"/>
        </patternFill>
      </fill>
    </dxf>
    <dxf>
      <fill>
        <patternFill>
          <bgColor rgb="FFFFF2CC"/>
        </patternFill>
      </fill>
    </dxf>
    <dxf>
      <fill>
        <patternFill>
          <bgColor rgb="FFD9EAD3"/>
        </patternFill>
      </fill>
    </dxf>
    <dxf>
      <font>
        <b/>
        <color rgb="FFC00000"/>
      </font>
      <fill>
        <patternFill>
          <bgColor rgb="FFF4CCCC"/>
        </patternFill>
      </fill>
    </dxf>
    <dxf>
      <font>
        <b/>
        <color rgb="FF17324D"/>
      </font>
      <fill>
        <patternFill>
          <bgColor rgb="FFF4B183"/>
        </patternFill>
      </fill>
    </dxf>
    <dxf>
      <font>
        <b/>
        <color rgb="FF17324D"/>
      </font>
      <fill>
        <patternFill>
          <bgColor rgb="FFFFF2CC"/>
        </patternFill>
      </fill>
    </dxf>
    <dxf>
      <font>
        <b/>
        <color rgb="FF17324D"/>
      </font>
      <fill>
        <patternFill>
          <bgColor rgb="FFE2F0D9"/>
        </patternFill>
      </fill>
    </dxf>
    <dxf>
      <font>
        <b/>
        <color rgb="FF2F6B5F"/>
      </font>
      <fill>
        <patternFill>
          <bgColor rgb="FFD9EAD3"/>
        </patternFill>
      </fill>
    </dxf>
    <dxf>
      <font>
        <b/>
        <color rgb="FFC00000"/>
      </font>
      <fill>
        <patternFill>
          <bgColor rgb="FFFFF2CC"/>
        </patternFill>
      </fill>
    </dxf>
    <dxf>
      <font>
        <b/>
        <color rgb="FF2F6B5F"/>
      </font>
      <fill>
        <patternFill>
          <bgColor rgb="FFD9EAD3"/>
        </patternFill>
      </fill>
    </dxf>
    <dxf>
      <font>
        <b/>
        <color rgb="FFC00000"/>
      </font>
      <fill>
        <patternFill>
          <bgColor rgb="FFFFF2CC"/>
        </patternFill>
      </fill>
    </dxf>
    <dxf>
      <font>
        <b/>
        <color rgb="FF2F6B5F"/>
      </font>
      <fill>
        <patternFill>
          <bgColor rgb="FFD9EAD3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FFFFFF"/>
        <name val="Lato"/>
        <family val="2"/>
        <scheme val="none"/>
      </font>
      <fill>
        <patternFill patternType="solid">
          <fgColor indexed="64"/>
          <bgColor rgb="FF0E5690"/>
        </patternFill>
      </fill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color rgb="FF1F3864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  <fill>
        <patternFill patternType="solid">
          <fgColor indexed="64"/>
          <bgColor rgb="FF0E5690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name val="Lato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</dxf>
    <dxf>
      <font>
        <strike val="0"/>
        <outline val="0"/>
        <shadow val="0"/>
        <u val="none"/>
        <vertAlign val="baseline"/>
        <sz val="12"/>
        <color rgb="FFFFFFFF"/>
        <name val="Lato"/>
        <scheme val="none"/>
      </font>
      <fill>
        <patternFill patternType="solid">
          <fgColor indexed="64"/>
          <bgColor rgb="FF0E5690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name val="Lato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</dxf>
    <dxf>
      <font>
        <strike val="0"/>
        <outline val="0"/>
        <shadow val="0"/>
        <u val="none"/>
        <vertAlign val="baseline"/>
        <sz val="12"/>
        <color rgb="FFFFFFFF"/>
        <name val="Lato"/>
        <scheme val="none"/>
      </font>
      <fill>
        <patternFill patternType="solid">
          <fgColor indexed="64"/>
          <bgColor rgb="FF0E5690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name val="Lato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scheme val="none"/>
      </font>
    </dxf>
    <dxf>
      <font>
        <strike val="0"/>
        <outline val="0"/>
        <shadow val="0"/>
        <u val="none"/>
        <vertAlign val="baseline"/>
        <sz val="12"/>
        <color rgb="FFFFFFFF"/>
        <name val="Lato"/>
        <scheme val="none"/>
      </font>
      <fill>
        <patternFill patternType="solid">
          <fgColor indexed="64"/>
          <bgColor rgb="FF0E5690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sz val="12"/>
        <color rgb="FFFFFFFF"/>
        <name val="Lato"/>
        <family val="2"/>
        <scheme val="none"/>
      </font>
      <fill>
        <patternFill patternType="solid">
          <fgColor indexed="64"/>
          <bgColor rgb="FF0E5690"/>
        </patternFill>
      </fill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1F3864"/>
        <name val="Lato"/>
        <family val="2"/>
        <scheme val="none"/>
      </font>
      <fill>
        <patternFill patternType="solid">
          <fgColor indexed="64"/>
          <bgColor rgb="FFDCE6F1"/>
        </patternFill>
      </fill>
    </dxf>
    <dxf>
      <font>
        <strike val="0"/>
        <outline val="0"/>
        <shadow val="0"/>
        <u val="none"/>
        <vertAlign val="baseline"/>
        <sz val="12"/>
        <color rgb="FFFFFFFF"/>
        <name val="Lato"/>
        <family val="2"/>
        <scheme val="none"/>
      </font>
      <fill>
        <patternFill patternType="solid">
          <fgColor indexed="64"/>
          <bgColor rgb="FF0E5690"/>
        </patternFill>
      </fill>
    </dxf>
  </dxfs>
  <tableStyles count="0" defaultTableStyle="TableStyleMedium2" defaultPivotStyle="PivotStyleLight16"/>
  <colors>
    <mruColors>
      <color rgb="FF1F3864"/>
      <color rgb="FFDCE6F1"/>
      <color rgb="FF0E5690"/>
      <color rgb="FFFAEAF8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b="1">
                <a:solidFill>
                  <a:schemeClr val="bg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ESG Pillar Comparison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Inherent Risk</c:v>
          </c:tx>
          <c:spPr>
            <a:solidFill>
              <a:srgbClr val="1F3864"/>
            </a:solidFill>
          </c:spPr>
          <c:invertIfNegative val="1"/>
          <c:cat>
            <c:strRef>
              <c:f>'Risk Dashboard'!$T$3:$T$5</c:f>
              <c:strCache>
                <c:ptCount val="3"/>
                <c:pt idx="0">
                  <c:v>Environmental</c:v>
                </c:pt>
                <c:pt idx="1">
                  <c:v>Social</c:v>
                </c:pt>
                <c:pt idx="2">
                  <c:v>Governance</c:v>
                </c:pt>
              </c:strCache>
            </c:strRef>
          </c:cat>
          <c:val>
            <c:numRef>
              <c:f>'Risk Dashboard'!$U$3:$U$5</c:f>
              <c:numCache>
                <c:formatCode>0.0</c:formatCode>
                <c:ptCount val="3"/>
                <c:pt idx="0">
                  <c:v>79.5</c:v>
                </c:pt>
                <c:pt idx="1">
                  <c:v>70</c:v>
                </c:pt>
                <c:pt idx="2">
                  <c:v>63.5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17BD-46AD-8812-868E7F048B32}"/>
            </c:ext>
          </c:extLst>
        </c:ser>
        <c:ser>
          <c:idx val="1"/>
          <c:order val="1"/>
          <c:tx>
            <c:v>Residual Risk</c:v>
          </c:tx>
          <c:spPr>
            <a:solidFill>
              <a:srgbClr val="DCE6F1"/>
            </a:solidFill>
          </c:spPr>
          <c:invertIfNegative val="1"/>
          <c:cat>
            <c:strRef>
              <c:f>'Risk Dashboard'!$T$3:$T$5</c:f>
              <c:strCache>
                <c:ptCount val="3"/>
                <c:pt idx="0">
                  <c:v>Environmental</c:v>
                </c:pt>
                <c:pt idx="1">
                  <c:v>Social</c:v>
                </c:pt>
                <c:pt idx="2">
                  <c:v>Governance</c:v>
                </c:pt>
              </c:strCache>
            </c:strRef>
          </c:cat>
          <c:val>
            <c:numRef>
              <c:f>'Risk Dashboard'!$V$3:$V$5</c:f>
              <c:numCache>
                <c:formatCode>0.0</c:formatCode>
                <c:ptCount val="3"/>
                <c:pt idx="0">
                  <c:v>53.092500000000001</c:v>
                </c:pt>
                <c:pt idx="1">
                  <c:v>45.394999999999996</c:v>
                </c:pt>
                <c:pt idx="2">
                  <c:v>36.025000000000006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17BD-46AD-8812-868E7F048B32}"/>
            </c:ext>
          </c:extLst>
        </c:ser>
        <c:ser>
          <c:idx val="2"/>
          <c:order val="2"/>
          <c:tx>
            <c:v>Risk incl. Uncertainty</c:v>
          </c:tx>
          <c:spPr>
            <a:solidFill>
              <a:srgbClr val="0E5690"/>
            </a:solidFill>
          </c:spPr>
          <c:invertIfNegative val="1"/>
          <c:cat>
            <c:strRef>
              <c:f>'Risk Dashboard'!$T$3:$T$5</c:f>
              <c:strCache>
                <c:ptCount val="3"/>
                <c:pt idx="0">
                  <c:v>Environmental</c:v>
                </c:pt>
                <c:pt idx="1">
                  <c:v>Social</c:v>
                </c:pt>
                <c:pt idx="2">
                  <c:v>Governance</c:v>
                </c:pt>
              </c:strCache>
            </c:strRef>
          </c:cat>
          <c:val>
            <c:numRef>
              <c:f>'Risk Dashboard'!$W$3:$W$5</c:f>
              <c:numCache>
                <c:formatCode>0.0</c:formatCode>
                <c:ptCount val="3"/>
                <c:pt idx="0">
                  <c:v>58.582500000000003</c:v>
                </c:pt>
                <c:pt idx="1">
                  <c:v>51.455000000000005</c:v>
                </c:pt>
                <c:pt idx="2">
                  <c:v>40.555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17BD-46AD-8812-868E7F048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solidFill>
      <a:srgbClr val="1F3864"/>
    </a:solidFill>
    <a:ln w="9525">
      <a:solidFill>
        <a:srgbClr val="D9D9D9"/>
      </a:solidFill>
      <a:prstDash val="solid"/>
    </a:ln>
  </c:spPr>
  <c:txPr>
    <a:bodyPr/>
    <a:lstStyle/>
    <a:p>
      <a:pPr>
        <a:defRPr>
          <a:solidFill>
            <a:schemeClr val="bg1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b="1">
                <a:solidFill>
                  <a:schemeClr val="bg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Top Five Priority Risks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Priority Score</c:v>
          </c:tx>
          <c:spPr>
            <a:solidFill>
              <a:srgbClr val="0E5690"/>
            </a:solidFill>
          </c:spPr>
          <c:invertIfNegative val="1"/>
          <c:cat>
            <c:strRef>
              <c:f>'Risk Dashboard'!$Y$3:$Y$7</c:f>
              <c:strCache>
                <c:ptCount val="5"/>
                <c:pt idx="0">
                  <c:v>Greenhouse-gas emissions</c:v>
                </c:pt>
                <c:pt idx="1">
                  <c:v>Employee health and safety</c:v>
                </c:pt>
                <c:pt idx="2">
                  <c:v>Water usage and water stress</c:v>
                </c:pt>
                <c:pt idx="3">
                  <c:v>Supply-chain labour practices</c:v>
                </c:pt>
                <c:pt idx="4">
                  <c:v>Community and Indigenous relations</c:v>
                </c:pt>
              </c:strCache>
            </c:strRef>
          </c:cat>
          <c:val>
            <c:numRef>
              <c:f>'Risk Dashboard'!$Z$3:$Z$7</c:f>
              <c:numCache>
                <c:formatCode>0.0</c:formatCode>
                <c:ptCount val="5"/>
                <c:pt idx="0">
                  <c:v>12.24</c:v>
                </c:pt>
                <c:pt idx="1">
                  <c:v>12.24</c:v>
                </c:pt>
                <c:pt idx="2">
                  <c:v>10.559999999999999</c:v>
                </c:pt>
                <c:pt idx="3">
                  <c:v>9.9750000000000014</c:v>
                </c:pt>
                <c:pt idx="4">
                  <c:v>8.52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D6CA-4F9A-B816-C9D2786B4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solidFill>
      <a:srgbClr val="1F3864"/>
    </a:solidFill>
    <a:ln w="9525">
      <a:solidFill>
        <a:srgbClr val="D9D9D9"/>
      </a:solidFill>
      <a:prstDash val="solid"/>
    </a:ln>
  </c:spPr>
  <c:txPr>
    <a:bodyPr/>
    <a:lstStyle/>
    <a:p>
      <a:pPr>
        <a:defRPr>
          <a:solidFill>
            <a:schemeClr val="bg1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b="1">
                <a:solidFill>
                  <a:schemeClr val="bg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Scenario Comparison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Final ESG Score</c:v>
          </c:tx>
          <c:spPr>
            <a:solidFill>
              <a:srgbClr val="0E5690"/>
            </a:solidFill>
          </c:spPr>
          <c:invertIfNegative val="1"/>
          <c:cat>
            <c:strRef>
              <c:f>'Risk Dashboard'!$T$9:$T$12</c:f>
              <c:strCache>
                <c:ptCount val="4"/>
                <c:pt idx="0">
                  <c:v>Base Case</c:v>
                </c:pt>
                <c:pt idx="1">
                  <c:v>Adverse Scenario</c:v>
                </c:pt>
                <c:pt idx="2">
                  <c:v>Improved Management Scenario</c:v>
                </c:pt>
                <c:pt idx="3">
                  <c:v>Custom Scenario</c:v>
                </c:pt>
              </c:strCache>
            </c:strRef>
          </c:cat>
          <c:val>
            <c:numRef>
              <c:f>'Risk Dashboard'!$U$9:$U$12</c:f>
              <c:numCache>
                <c:formatCode>0.0</c:formatCode>
                <c:ptCount val="4"/>
                <c:pt idx="0">
                  <c:v>76.23875000000001</c:v>
                </c:pt>
                <c:pt idx="1">
                  <c:v>86.804952499999999</c:v>
                </c:pt>
                <c:pt idx="2">
                  <c:v>68.816712499999994</c:v>
                </c:pt>
                <c:pt idx="3">
                  <c:v>74.094924375000005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69A7-45B6-A3AD-52F997C51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solidFill>
      <a:srgbClr val="1F3864"/>
    </a:solidFill>
    <a:ln w="9525">
      <a:solidFill>
        <a:srgbClr val="D9D9D9"/>
      </a:solidFill>
      <a:prstDash val="solid"/>
    </a:ln>
  </c:spPr>
  <c:txPr>
    <a:bodyPr/>
    <a:lstStyle/>
    <a:p>
      <a:pPr>
        <a:defRPr>
          <a:solidFill>
            <a:schemeClr val="bg1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b="1">
                <a:solidFill>
                  <a:schemeClr val="bg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Largest Management Gaps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Exposure − Management</c:v>
          </c:tx>
          <c:spPr>
            <a:solidFill>
              <a:srgbClr val="0E5690"/>
            </a:solidFill>
          </c:spPr>
          <c:invertIfNegative val="1"/>
          <c:cat>
            <c:strRef>
              <c:f>'Risk Dashboard'!$W$9:$W$13</c:f>
              <c:strCache>
                <c:ptCount val="5"/>
                <c:pt idx="0">
                  <c:v>Water usage and water stress</c:v>
                </c:pt>
                <c:pt idx="1">
                  <c:v>Greenhouse-gas emissions</c:v>
                </c:pt>
                <c:pt idx="2">
                  <c:v>Employee health and safety</c:v>
                </c:pt>
                <c:pt idx="3">
                  <c:v>Community and Indigenous relations</c:v>
                </c:pt>
                <c:pt idx="4">
                  <c:v>Biodiversity and land-use impact</c:v>
                </c:pt>
              </c:strCache>
            </c:strRef>
          </c:cat>
          <c:val>
            <c:numRef>
              <c:f>'Risk Dashboard'!$X$9:$X$13</c:f>
              <c:numCache>
                <c:formatCode>0.0</c:formatCode>
                <c:ptCount val="5"/>
                <c:pt idx="0">
                  <c:v>70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A827-4B74-861E-416192F94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solidFill>
      <a:srgbClr val="1F3864"/>
    </a:solidFill>
    <a:ln w="9525">
      <a:solidFill>
        <a:srgbClr val="D9D9D9"/>
      </a:solidFill>
      <a:prstDash val="solid"/>
    </a:ln>
  </c:spPr>
  <c:txPr>
    <a:bodyPr/>
    <a:lstStyle/>
    <a:p>
      <a:pPr>
        <a:defRPr>
          <a:solidFill>
            <a:schemeClr val="bg1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CA" b="1">
                <a:solidFill>
                  <a:schemeClr val="bg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Risk Matrix: Exposure vs Management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Environmental</c:v>
          </c:tx>
          <c:xVal>
            <c:numLit>
              <c:ptCount val="0"/>
            </c:numLit>
          </c:xVal>
          <c:yVal>
            <c:numRef>
              <c:f>'Risk Dashboard'!$AB$11:$AB$18</c:f>
              <c:numCache>
                <c:formatCode>0.0</c:formatCode>
                <c:ptCount val="8"/>
                <c:pt idx="0">
                  <c:v>99</c:v>
                </c:pt>
                <c:pt idx="1">
                  <c:v>74.5</c:v>
                </c:pt>
                <c:pt idx="2">
                  <c:v>75</c:v>
                </c:pt>
                <c:pt idx="3">
                  <c:v>50.5</c:v>
                </c:pt>
                <c:pt idx="4">
                  <c:v>100</c:v>
                </c:pt>
                <c:pt idx="5">
                  <c:v>76.5</c:v>
                </c:pt>
                <c:pt idx="6">
                  <c:v>73.5</c:v>
                </c:pt>
                <c:pt idx="7">
                  <c:v>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91C-48FE-861F-B13B5FC5E9FB}"/>
            </c:ext>
          </c:extLst>
        </c:ser>
        <c:ser>
          <c:idx val="1"/>
          <c:order val="1"/>
          <c:tx>
            <c:v>Social</c:v>
          </c:tx>
          <c:xVal>
            <c:numLit>
              <c:ptCount val="0"/>
            </c:numLit>
          </c:xVal>
          <c:yVal>
            <c:numRef>
              <c:f>'Risk Dashboard'!$AB$19:$AB$26</c:f>
              <c:numCache>
                <c:formatCode>0.0</c:formatCode>
                <c:ptCount val="8"/>
                <c:pt idx="0">
                  <c:v>99.5</c:v>
                </c:pt>
                <c:pt idx="1">
                  <c:v>50</c:v>
                </c:pt>
                <c:pt idx="2">
                  <c:v>50.5</c:v>
                </c:pt>
                <c:pt idx="3">
                  <c:v>51</c:v>
                </c:pt>
                <c:pt idx="4">
                  <c:v>76.5</c:v>
                </c:pt>
                <c:pt idx="5">
                  <c:v>73.5</c:v>
                </c:pt>
                <c:pt idx="6">
                  <c:v>99</c:v>
                </c:pt>
                <c:pt idx="7">
                  <c:v>29.5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91C-48FE-861F-B13B5FC5E9FB}"/>
            </c:ext>
          </c:extLst>
        </c:ser>
        <c:ser>
          <c:idx val="2"/>
          <c:order val="2"/>
          <c:tx>
            <c:v>Governance</c:v>
          </c:tx>
          <c:xVal>
            <c:numLit>
              <c:ptCount val="0"/>
            </c:numLit>
          </c:xVal>
          <c:yVal>
            <c:numRef>
              <c:f>'Risk Dashboard'!$AB$27:$AB$34</c:f>
              <c:numCache>
                <c:formatCode>0.0</c:formatCode>
                <c:ptCount val="8"/>
                <c:pt idx="0">
                  <c:v>50</c:v>
                </c:pt>
                <c:pt idx="1">
                  <c:v>50.5</c:v>
                </c:pt>
                <c:pt idx="2">
                  <c:v>76</c:v>
                </c:pt>
                <c:pt idx="3">
                  <c:v>76.5</c:v>
                </c:pt>
                <c:pt idx="4">
                  <c:v>73.5</c:v>
                </c:pt>
                <c:pt idx="5">
                  <c:v>49</c:v>
                </c:pt>
                <c:pt idx="6">
                  <c:v>49.5</c:v>
                </c:pt>
                <c:pt idx="7">
                  <c:v>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91C-48FE-861F-B13B5FC5E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midCat"/>
      </c:valAx>
      <c:val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crossBetween val="midCat"/>
      </c:valAx>
    </c:plotArea>
    <c:legend>
      <c:legendPos val="b"/>
      <c:overlay val="0"/>
    </c:legend>
    <c:plotVisOnly val="1"/>
    <c:dispBlanksAs val="zero"/>
    <c:showDLblsOverMax val="1"/>
  </c:chart>
  <c:spPr>
    <a:solidFill>
      <a:srgbClr val="1F3864"/>
    </a:solidFill>
    <a:ln w="9525">
      <a:solidFill>
        <a:srgbClr val="D9D9D9"/>
      </a:solidFill>
      <a:prstDash val="solid"/>
    </a:ln>
  </c:spPr>
  <c:txPr>
    <a:bodyPr/>
    <a:lstStyle/>
    <a:p>
      <a:pPr>
        <a:defRPr>
          <a:solidFill>
            <a:schemeClr val="bg1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312421</xdr:colOff>
      <xdr:row>0</xdr:row>
      <xdr:rowOff>50568</xdr:rowOff>
    </xdr:from>
    <xdr:to>
      <xdr:col>2</xdr:col>
      <xdr:colOff>1623060</xdr:colOff>
      <xdr:row>2</xdr:row>
      <xdr:rowOff>288423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7912AB-1733-4C56-9E8C-31306FAB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1" y="50568"/>
          <a:ext cx="2682239" cy="664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277906</xdr:colOff>
      <xdr:row>0</xdr:row>
      <xdr:rowOff>133500</xdr:rowOff>
    </xdr:from>
    <xdr:to>
      <xdr:col>2</xdr:col>
      <xdr:colOff>797859</xdr:colOff>
      <xdr:row>0</xdr:row>
      <xdr:rowOff>979767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E7F64B-DADE-4C93-8783-EAD2F83F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906" y="133500"/>
          <a:ext cx="3415553" cy="8462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307141</xdr:colOff>
      <xdr:row>0</xdr:row>
      <xdr:rowOff>59433</xdr:rowOff>
    </xdr:from>
    <xdr:to>
      <xdr:col>2</xdr:col>
      <xdr:colOff>914402</xdr:colOff>
      <xdr:row>0</xdr:row>
      <xdr:rowOff>749992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70E029-4CF6-4E10-B094-8F4F23696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494" y="59433"/>
          <a:ext cx="2785684" cy="690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14</xdr:row>
      <xdr:rowOff>0</xdr:rowOff>
    </xdr:from>
    <xdr:to>
      <xdr:col>16</xdr:col>
      <xdr:colOff>0</xdr:colOff>
      <xdr:row>31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8</xdr:col>
      <xdr:colOff>0</xdr:colOff>
      <xdr:row>49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16</xdr:col>
      <xdr:colOff>0</xdr:colOff>
      <xdr:row>49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57</xdr:row>
      <xdr:rowOff>0</xdr:rowOff>
    </xdr:from>
    <xdr:to>
      <xdr:col>16</xdr:col>
      <xdr:colOff>0</xdr:colOff>
      <xdr:row>83</xdr:row>
      <xdr:rowOff>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313764</xdr:colOff>
      <xdr:row>0</xdr:row>
      <xdr:rowOff>89648</xdr:rowOff>
    </xdr:from>
    <xdr:to>
      <xdr:col>2</xdr:col>
      <xdr:colOff>601642</xdr:colOff>
      <xdr:row>0</xdr:row>
      <xdr:rowOff>878818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4A49557-453F-451B-8C1F-382FD56DC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117" y="89648"/>
          <a:ext cx="3183478" cy="78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35859</xdr:colOff>
      <xdr:row>0</xdr:row>
      <xdr:rowOff>76381</xdr:rowOff>
    </xdr:from>
    <xdr:to>
      <xdr:col>1</xdr:col>
      <xdr:colOff>2528047</xdr:colOff>
      <xdr:row>0</xdr:row>
      <xdr:rowOff>693867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7645E4-A537-4754-BDF6-56E8F1609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212" y="76381"/>
          <a:ext cx="2492188" cy="6174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EnvironmentalAssessment" displayName="EnvironmentalAssessment" ref="B13:F21" headerRowDxfId="77" dataDxfId="76" totalsRowDxfId="75">
  <tableColumns count="5">
    <tableColumn id="1" xr3:uid="{00000000-0010-0000-0000-000001000000}" name="Risk Factor" dataDxfId="74"/>
    <tableColumn id="2" xr3:uid="{00000000-0010-0000-0000-000002000000}" name="Exposure Level" dataDxfId="73"/>
    <tableColumn id="3" xr3:uid="{00000000-0010-0000-0000-000003000000}" name="Management Effectiveness" dataDxfId="72"/>
    <tableColumn id="4" xr3:uid="{00000000-0010-0000-0000-000004000000}" name="Data Quality" dataDxfId="71"/>
    <tableColumn id="5" xr3:uid="{00000000-0010-0000-0000-000005000000}" name="Notes / Evidence" dataDxfId="7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SocialAssessment" displayName="SocialAssessment" ref="B23:F31" headerRowDxfId="69" dataDxfId="68" totalsRowDxfId="67">
  <tableColumns count="5">
    <tableColumn id="1" xr3:uid="{00000000-0010-0000-0100-000001000000}" name="Risk Factor" dataDxfId="66"/>
    <tableColumn id="2" xr3:uid="{00000000-0010-0000-0100-000002000000}" name="Exposure Level" dataDxfId="65"/>
    <tableColumn id="3" xr3:uid="{00000000-0010-0000-0100-000003000000}" name="Management Effectiveness" dataDxfId="64"/>
    <tableColumn id="4" xr3:uid="{00000000-0010-0000-0100-000004000000}" name="Data Quality" dataDxfId="63"/>
    <tableColumn id="5" xr3:uid="{00000000-0010-0000-0100-000005000000}" name="Notes / Evidence" dataDxfId="6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GovernanceAssessment" displayName="GovernanceAssessment" ref="B33:F41" headerRowDxfId="61" dataDxfId="60" totalsRowDxfId="59">
  <tableColumns count="5">
    <tableColumn id="1" xr3:uid="{00000000-0010-0000-0200-000001000000}" name="Risk Factor" dataDxfId="58"/>
    <tableColumn id="2" xr3:uid="{00000000-0010-0000-0200-000002000000}" name="Exposure Level" dataDxfId="57"/>
    <tableColumn id="3" xr3:uid="{00000000-0010-0000-0200-000003000000}" name="Management Effectiveness" dataDxfId="56"/>
    <tableColumn id="4" xr3:uid="{00000000-0010-0000-0200-000004000000}" name="Data Quality" dataDxfId="55"/>
    <tableColumn id="5" xr3:uid="{00000000-0010-0000-0200-000005000000}" name="Notes / Evidence" dataDxfId="5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FactorScoringTable" displayName="FactorScoringTable" ref="B12:T36" headerRowDxfId="53" dataDxfId="52" totalsRowDxfId="51">
  <tableColumns count="19">
    <tableColumn id="1" xr3:uid="{00000000-0010-0000-0300-000001000000}" name="Pillar" dataDxfId="50"/>
    <tableColumn id="2" xr3:uid="{00000000-0010-0000-0300-000002000000}" name="ESG Risk Factor" dataDxfId="49"/>
    <tableColumn id="3" xr3:uid="{00000000-0010-0000-0300-000003000000}" name="Exposure Rating" dataDxfId="48"/>
    <tableColumn id="4" xr3:uid="{00000000-0010-0000-0300-000004000000}" name="Exposure Score" dataDxfId="47"/>
    <tableColumn id="5" xr3:uid="{00000000-0010-0000-0300-000005000000}" name="Management Rating" dataDxfId="46"/>
    <tableColumn id="6" xr3:uid="{00000000-0010-0000-0300-000006000000}" name="Management Score" dataDxfId="45"/>
    <tableColumn id="7" xr3:uid="{00000000-0010-0000-0300-000007000000}" name="Data Quality" dataDxfId="44"/>
    <tableColumn id="8" xr3:uid="{00000000-0010-0000-0300-000008000000}" name="Data Quality Score" dataDxfId="43"/>
    <tableColumn id="9" xr3:uid="{00000000-0010-0000-0300-000009000000}" name="Factor Weight" dataDxfId="42"/>
    <tableColumn id="10" xr3:uid="{00000000-0010-0000-0300-00000A000000}" name="Scenario Exposure" dataDxfId="41"/>
    <tableColumn id="11" xr3:uid="{00000000-0010-0000-0300-00000B000000}" name="Scenario Management" dataDxfId="40"/>
    <tableColumn id="12" xr3:uid="{00000000-0010-0000-0300-00000C000000}" name="Residual Risk" dataDxfId="39"/>
    <tableColumn id="13" xr3:uid="{00000000-0010-0000-0300-00000D000000}" name="Uncertainty Adjustment" dataDxfId="38"/>
    <tableColumn id="14" xr3:uid="{00000000-0010-0000-0300-00000E000000}" name="Risk Including Uncertainty" dataDxfId="37"/>
    <tableColumn id="15" xr3:uid="{00000000-0010-0000-0300-00000F000000}" name="Management Gap" dataDxfId="36"/>
    <tableColumn id="16" xr3:uid="{00000000-0010-0000-0300-000010000000}" name="Priority Score" dataDxfId="35"/>
    <tableColumn id="17" xr3:uid="{00000000-0010-0000-0300-000011000000}" name="Priority Rank" dataDxfId="34"/>
    <tableColumn id="18" xr3:uid="{00000000-0010-0000-0300-000012000000}" name="Recommended Action" dataDxfId="33"/>
    <tableColumn id="19" xr3:uid="{00000000-0010-0000-0300-000013000000}" name="Factor ID" dataDxfId="3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DashboardRiskHeatMap" displayName="DashboardRiskHeatMap" ref="B59:I83" headerRowDxfId="31" dataDxfId="30" totalsRowDxfId="29">
  <tableColumns count="8">
    <tableColumn id="1" xr3:uid="{00000000-0010-0000-0400-000001000000}" name="Risk Factor" dataDxfId="28"/>
    <tableColumn id="2" xr3:uid="{00000000-0010-0000-0400-000002000000}" name="Pillar" dataDxfId="27"/>
    <tableColumn id="3" xr3:uid="{00000000-0010-0000-0400-000003000000}" name="Exposure" dataDxfId="26"/>
    <tableColumn id="4" xr3:uid="{00000000-0010-0000-0400-000004000000}" name="Management" dataDxfId="25"/>
    <tableColumn id="5" xr3:uid="{00000000-0010-0000-0400-000005000000}" name="Residual Risk" dataDxfId="24"/>
    <tableColumn id="6" xr3:uid="{00000000-0010-0000-0400-000006000000}" name="Data Quality" dataDxfId="23"/>
    <tableColumn id="7" xr3:uid="{00000000-0010-0000-0400-000007000000}" name="Risk incl. Uncertainty" dataDxfId="22"/>
    <tableColumn id="8" xr3:uid="{00000000-0010-0000-0400-000008000000}" name="Priority Rank" dataDxfId="2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IndustryBenchmarks" displayName="IndustryBenchmarks" ref="B23:E39" headerRowDxfId="91" dataDxfId="90" totalsRowDxfId="89">
  <tableColumns count="4">
    <tableColumn id="1" xr3:uid="{00000000-0010-0000-0500-000001000000}" name="Industry" dataDxfId="88"/>
    <tableColumn id="2" xr3:uid="{00000000-0010-0000-0500-000002000000}" name="Environmental" dataDxfId="87"/>
    <tableColumn id="3" xr3:uid="{00000000-0010-0000-0500-000003000000}" name="Social" dataDxfId="86"/>
    <tableColumn id="4" xr3:uid="{00000000-0010-0000-0500-000004000000}" name="Governanc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RiskDefinitions" displayName="RiskDefinitions" ref="B41:E65" headerRowDxfId="84" dataDxfId="83" totalsRowDxfId="82">
  <tableColumns count="4">
    <tableColumn id="1" xr3:uid="{00000000-0010-0000-0600-000001000000}" name="Pillar" dataDxfId="81"/>
    <tableColumn id="2" xr3:uid="{00000000-0010-0000-0600-000002000000}" name="Risk Factor" dataDxfId="80"/>
    <tableColumn id="3" xr3:uid="{00000000-0010-0000-0600-000003000000}" name="Plain-Language Definition" dataDxfId="79"/>
    <tableColumn id="4" xr3:uid="{00000000-0010-0000-0600-000004000000}" name="Recommended Action" dataDxfId="7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11" workbookViewId="0">
      <selection activeCell="F26" sqref="F26"/>
    </sheetView>
  </sheetViews>
  <sheetFormatPr defaultRowHeight="16.8"/>
  <cols>
    <col min="1" max="1" width="8.796875" style="27"/>
    <col min="2" max="2" width="18" style="27" customWidth="1"/>
    <col min="3" max="3" width="34" style="27" customWidth="1"/>
    <col min="4" max="4" width="55" style="27" customWidth="1"/>
    <col min="5" max="5" width="8.796875" style="27"/>
    <col min="6" max="6" width="25" style="27" customWidth="1"/>
    <col min="7" max="7" width="60" style="27" customWidth="1"/>
    <col min="8" max="8" width="50" style="27" customWidth="1"/>
    <col min="9" max="16384" width="8.796875" style="27"/>
  </cols>
  <sheetData>
    <row r="1" spans="1:9">
      <c r="A1" s="28"/>
      <c r="B1" s="89"/>
      <c r="C1" s="89"/>
      <c r="D1" s="88" t="s">
        <v>0</v>
      </c>
      <c r="E1" s="88"/>
      <c r="F1" s="88"/>
      <c r="G1" s="28"/>
    </row>
    <row r="2" spans="1:9" ht="16.8" customHeight="1">
      <c r="A2" s="28"/>
      <c r="B2" s="89"/>
      <c r="C2" s="89"/>
      <c r="D2" s="88"/>
      <c r="E2" s="88"/>
      <c r="F2" s="88"/>
      <c r="G2" s="76"/>
    </row>
    <row r="3" spans="1:9" ht="27.15" customHeight="1">
      <c r="A3" s="28"/>
      <c r="B3" s="89"/>
      <c r="C3" s="89"/>
      <c r="D3" s="88"/>
      <c r="E3" s="88"/>
      <c r="F3" s="88"/>
      <c r="G3" s="76"/>
      <c r="H3" s="79"/>
      <c r="I3" s="79"/>
    </row>
    <row r="4" spans="1:9" ht="27.15" customHeight="1">
      <c r="A4" s="28"/>
      <c r="B4" s="90" t="s">
        <v>1</v>
      </c>
      <c r="C4" s="90"/>
      <c r="D4" s="90"/>
      <c r="E4" s="90"/>
      <c r="F4" s="90"/>
      <c r="G4" s="77"/>
      <c r="H4" s="79"/>
      <c r="I4" s="79"/>
    </row>
    <row r="5" spans="1:9">
      <c r="G5" s="28"/>
    </row>
    <row r="6" spans="1:9" ht="25.2" customHeight="1">
      <c r="A6" s="28"/>
      <c r="B6" s="81" t="s">
        <v>2</v>
      </c>
      <c r="C6" s="81"/>
      <c r="D6" s="81"/>
      <c r="E6" s="81"/>
      <c r="F6" s="81"/>
      <c r="G6" s="29"/>
      <c r="H6" s="31"/>
      <c r="I6" s="31"/>
    </row>
    <row r="7" spans="1:9" ht="16.8" customHeight="1">
      <c r="A7" s="28"/>
      <c r="B7" s="117" t="s">
        <v>3</v>
      </c>
      <c r="C7" s="117"/>
      <c r="D7" s="117"/>
      <c r="E7" s="117"/>
      <c r="F7" s="117"/>
      <c r="G7" s="78"/>
      <c r="H7" s="72"/>
      <c r="I7" s="72"/>
    </row>
    <row r="8" spans="1:9">
      <c r="A8" s="28"/>
      <c r="B8" s="117"/>
      <c r="C8" s="117"/>
      <c r="D8" s="117"/>
      <c r="E8" s="117"/>
      <c r="F8" s="117"/>
      <c r="G8" s="78"/>
      <c r="H8" s="72"/>
      <c r="I8" s="72"/>
    </row>
    <row r="9" spans="1:9">
      <c r="A9" s="28"/>
      <c r="B9" s="117"/>
      <c r="C9" s="117"/>
      <c r="D9" s="117"/>
      <c r="E9" s="117"/>
      <c r="F9" s="117"/>
      <c r="G9" s="78"/>
      <c r="H9" s="72"/>
      <c r="I9" s="72"/>
    </row>
    <row r="10" spans="1:9">
      <c r="A10" s="28"/>
      <c r="B10" s="117"/>
      <c r="C10" s="117"/>
      <c r="D10" s="117"/>
      <c r="E10" s="117"/>
      <c r="F10" s="117"/>
      <c r="G10" s="78"/>
      <c r="H10" s="72"/>
      <c r="I10" s="72"/>
    </row>
    <row r="11" spans="1:9" ht="28.2" customHeight="1">
      <c r="A11" s="28"/>
      <c r="B11" s="81" t="s">
        <v>4</v>
      </c>
      <c r="C11" s="81"/>
      <c r="D11" s="81"/>
      <c r="E11" s="87" t="s">
        <v>5</v>
      </c>
      <c r="F11" s="87"/>
      <c r="G11" s="87"/>
      <c r="H11" s="87"/>
      <c r="I11" s="87"/>
    </row>
    <row r="12" spans="1:9" ht="58.2" customHeight="1">
      <c r="A12" s="28"/>
      <c r="B12" s="35" t="s">
        <v>6</v>
      </c>
      <c r="C12" s="131" t="s">
        <v>7</v>
      </c>
      <c r="D12" s="131"/>
      <c r="E12" s="84" t="s">
        <v>8</v>
      </c>
      <c r="F12" s="84"/>
      <c r="G12" s="36" t="s">
        <v>9</v>
      </c>
      <c r="H12" s="42" t="s">
        <v>10</v>
      </c>
      <c r="I12" s="28"/>
    </row>
    <row r="13" spans="1:9" ht="57" customHeight="1">
      <c r="A13" s="28"/>
      <c r="B13" s="35" t="s">
        <v>11</v>
      </c>
      <c r="C13" s="131" t="s">
        <v>12</v>
      </c>
      <c r="D13" s="131"/>
      <c r="E13" s="84" t="s">
        <v>13</v>
      </c>
      <c r="F13" s="84"/>
      <c r="G13" s="36" t="s">
        <v>14</v>
      </c>
      <c r="H13" s="42" t="s">
        <v>15</v>
      </c>
      <c r="I13" s="28"/>
    </row>
    <row r="14" spans="1:9" ht="53.4" customHeight="1">
      <c r="A14" s="28"/>
      <c r="B14" s="35" t="s">
        <v>16</v>
      </c>
      <c r="C14" s="131" t="s">
        <v>17</v>
      </c>
      <c r="D14" s="131"/>
      <c r="E14" s="84" t="s">
        <v>18</v>
      </c>
      <c r="F14" s="84"/>
      <c r="G14" s="36" t="s">
        <v>19</v>
      </c>
      <c r="H14" s="42" t="s">
        <v>20</v>
      </c>
      <c r="I14" s="28"/>
    </row>
    <row r="15" spans="1:9" ht="64.8" customHeight="1">
      <c r="A15" s="28"/>
      <c r="B15" s="35" t="s">
        <v>21</v>
      </c>
      <c r="C15" s="131" t="s">
        <v>22</v>
      </c>
      <c r="D15" s="131"/>
      <c r="E15" s="84" t="s">
        <v>23</v>
      </c>
      <c r="F15" s="84"/>
      <c r="G15" s="36" t="s">
        <v>24</v>
      </c>
      <c r="H15" s="42" t="s">
        <v>25</v>
      </c>
      <c r="I15" s="28"/>
    </row>
    <row r="16" spans="1:9" ht="61.8" customHeight="1">
      <c r="A16" s="28"/>
      <c r="B16" s="35" t="s">
        <v>26</v>
      </c>
      <c r="C16" s="131" t="s">
        <v>27</v>
      </c>
      <c r="D16" s="131"/>
      <c r="E16" s="84" t="s">
        <v>28</v>
      </c>
      <c r="F16" s="84"/>
      <c r="G16" s="36" t="s">
        <v>29</v>
      </c>
      <c r="H16" s="42" t="s">
        <v>30</v>
      </c>
      <c r="I16" s="28"/>
    </row>
    <row r="17" spans="1:9" ht="43.8" customHeight="1">
      <c r="A17" s="28"/>
      <c r="B17" s="35" t="s">
        <v>31</v>
      </c>
      <c r="C17" s="131" t="s">
        <v>32</v>
      </c>
      <c r="D17" s="131"/>
      <c r="E17" s="84" t="s">
        <v>33</v>
      </c>
      <c r="F17" s="84"/>
      <c r="G17" s="36" t="s">
        <v>34</v>
      </c>
      <c r="H17" s="42" t="s">
        <v>35</v>
      </c>
      <c r="I17" s="28"/>
    </row>
    <row r="18" spans="1:9" ht="29.4" customHeight="1">
      <c r="A18" s="28"/>
      <c r="B18" s="81" t="s">
        <v>36</v>
      </c>
      <c r="C18" s="81"/>
      <c r="D18" s="81"/>
      <c r="E18" s="29"/>
      <c r="F18" s="85" t="s">
        <v>37</v>
      </c>
      <c r="G18" s="85"/>
      <c r="H18" s="85"/>
      <c r="I18" s="85"/>
    </row>
    <row r="19" spans="1:9" ht="31.8" customHeight="1">
      <c r="A19" s="28"/>
      <c r="B19" s="132" t="s">
        <v>38</v>
      </c>
      <c r="C19" s="42" t="s">
        <v>39</v>
      </c>
      <c r="D19" s="42" t="s">
        <v>40</v>
      </c>
      <c r="E19" s="28"/>
      <c r="F19" s="71" t="s">
        <v>41</v>
      </c>
      <c r="G19" s="42" t="s">
        <v>42</v>
      </c>
      <c r="H19" s="28"/>
    </row>
    <row r="20" spans="1:9" ht="25.65" customHeight="1">
      <c r="A20" s="28"/>
      <c r="B20" s="73" t="s">
        <v>47</v>
      </c>
      <c r="C20" s="42" t="s">
        <v>48</v>
      </c>
      <c r="D20" s="42" t="s">
        <v>49</v>
      </c>
      <c r="E20" s="28"/>
      <c r="F20" s="71" t="s">
        <v>43</v>
      </c>
      <c r="G20" s="42" t="s">
        <v>44</v>
      </c>
      <c r="H20" s="28"/>
    </row>
    <row r="21" spans="1:9" ht="25.65" customHeight="1">
      <c r="A21" s="28"/>
      <c r="B21" s="74" t="s">
        <v>52</v>
      </c>
      <c r="C21" s="42" t="s">
        <v>53</v>
      </c>
      <c r="D21" s="42" t="s">
        <v>54</v>
      </c>
      <c r="E21" s="28"/>
      <c r="F21" s="71" t="s">
        <v>45</v>
      </c>
      <c r="G21" s="42" t="s">
        <v>46</v>
      </c>
      <c r="H21" s="28"/>
    </row>
    <row r="22" spans="1:9" ht="25.65" customHeight="1">
      <c r="A22" s="28"/>
      <c r="B22" s="75" t="s">
        <v>57</v>
      </c>
      <c r="C22" s="42" t="s">
        <v>58</v>
      </c>
      <c r="D22" s="42" t="s">
        <v>59</v>
      </c>
      <c r="E22" s="28"/>
      <c r="F22" s="71" t="s">
        <v>50</v>
      </c>
      <c r="G22" s="42" t="s">
        <v>51</v>
      </c>
      <c r="H22" s="28"/>
    </row>
    <row r="23" spans="1:9" ht="25.65" customHeight="1">
      <c r="A23" s="28"/>
      <c r="B23" s="133"/>
      <c r="C23" s="134"/>
      <c r="D23" s="134"/>
      <c r="E23" s="28"/>
      <c r="F23" s="71" t="s">
        <v>55</v>
      </c>
      <c r="G23" s="42" t="s">
        <v>56</v>
      </c>
      <c r="H23" s="28"/>
    </row>
    <row r="24" spans="1:9" ht="25.65" customHeight="1">
      <c r="A24" s="28"/>
      <c r="B24" s="133"/>
      <c r="C24" s="134"/>
      <c r="D24" s="134"/>
      <c r="E24" s="28"/>
      <c r="F24" s="71" t="s">
        <v>60</v>
      </c>
      <c r="G24" s="42" t="s">
        <v>61</v>
      </c>
      <c r="H24" s="28"/>
    </row>
    <row r="25" spans="1:9" ht="25.8" customHeight="1">
      <c r="A25" s="28"/>
      <c r="B25" s="81" t="s">
        <v>62</v>
      </c>
      <c r="C25" s="81"/>
      <c r="D25" s="81"/>
      <c r="E25" s="29"/>
      <c r="F25" s="29"/>
      <c r="G25" s="29"/>
      <c r="H25" s="29"/>
      <c r="I25" s="31"/>
    </row>
    <row r="26" spans="1:9" ht="60.6" customHeight="1">
      <c r="A26" s="28"/>
      <c r="B26" s="86" t="s">
        <v>63</v>
      </c>
      <c r="C26" s="86"/>
      <c r="D26" s="86"/>
      <c r="E26" s="33"/>
      <c r="F26" s="80"/>
      <c r="G26" s="80"/>
      <c r="H26" s="80"/>
      <c r="I26" s="80"/>
    </row>
    <row r="27" spans="1:9" ht="30" customHeight="1">
      <c r="A27" s="28"/>
      <c r="B27" s="86" t="s">
        <v>64</v>
      </c>
      <c r="C27" s="86"/>
      <c r="D27" s="86"/>
      <c r="E27" s="33"/>
      <c r="F27" s="80"/>
      <c r="G27" s="80"/>
      <c r="H27" s="80"/>
      <c r="I27" s="80"/>
    </row>
    <row r="28" spans="1:9" ht="31.2" customHeight="1">
      <c r="A28" s="28"/>
      <c r="B28" s="86" t="s">
        <v>65</v>
      </c>
      <c r="C28" s="86"/>
      <c r="D28" s="86"/>
      <c r="E28" s="33"/>
      <c r="F28" s="80"/>
      <c r="G28" s="80"/>
      <c r="H28" s="80"/>
      <c r="I28" s="80"/>
    </row>
    <row r="29" spans="1:9" ht="28.8" customHeight="1">
      <c r="A29" s="28"/>
      <c r="B29" s="86" t="s">
        <v>66</v>
      </c>
      <c r="C29" s="86"/>
      <c r="D29" s="86"/>
      <c r="E29" s="33"/>
      <c r="F29" s="80"/>
      <c r="G29" s="80"/>
      <c r="H29" s="80"/>
      <c r="I29" s="80"/>
    </row>
    <row r="30" spans="1:9" ht="34.200000000000003" customHeight="1">
      <c r="A30" s="28"/>
      <c r="B30" s="86" t="s">
        <v>67</v>
      </c>
      <c r="C30" s="86"/>
      <c r="D30" s="86"/>
      <c r="E30" s="33"/>
      <c r="F30" s="80"/>
      <c r="G30" s="80"/>
      <c r="H30" s="80"/>
      <c r="I30" s="80"/>
    </row>
    <row r="31" spans="1:9">
      <c r="A31" s="28"/>
      <c r="B31" s="28"/>
      <c r="C31" s="28"/>
      <c r="D31" s="28"/>
      <c r="E31" s="28"/>
    </row>
    <row r="32" spans="1:9">
      <c r="A32" s="28"/>
      <c r="B32" s="28"/>
      <c r="C32" s="28"/>
      <c r="D32" s="28"/>
      <c r="E32" s="28"/>
    </row>
    <row r="37" ht="13.8" customHeight="1"/>
    <row r="38" ht="13.8" customHeight="1"/>
  </sheetData>
  <mergeCells count="27">
    <mergeCell ref="B30:D30"/>
    <mergeCell ref="B11:D11"/>
    <mergeCell ref="E11:I11"/>
    <mergeCell ref="D1:F3"/>
    <mergeCell ref="B1:C3"/>
    <mergeCell ref="B4:F4"/>
    <mergeCell ref="F18:I18"/>
    <mergeCell ref="B26:D26"/>
    <mergeCell ref="B27:D27"/>
    <mergeCell ref="B28:D28"/>
    <mergeCell ref="B29:D29"/>
    <mergeCell ref="B25:D25"/>
    <mergeCell ref="B18:D18"/>
    <mergeCell ref="B7:F10"/>
    <mergeCell ref="B6:F6"/>
    <mergeCell ref="C12:D12"/>
    <mergeCell ref="C13:D13"/>
    <mergeCell ref="C14:D14"/>
    <mergeCell ref="C15:D15"/>
    <mergeCell ref="C16:D16"/>
    <mergeCell ref="C17:D17"/>
    <mergeCell ref="E12:F12"/>
    <mergeCell ref="E13:F13"/>
    <mergeCell ref="E14:F14"/>
    <mergeCell ref="E15:F15"/>
    <mergeCell ref="E16:F16"/>
    <mergeCell ref="E17:F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opLeftCell="A46" zoomScaleNormal="100" workbookViewId="0">
      <selection activeCell="D8" sqref="D8:E8"/>
    </sheetView>
  </sheetViews>
  <sheetFormatPr defaultRowHeight="13.8"/>
  <cols>
    <col min="1" max="1" width="8.796875" style="2"/>
    <col min="2" max="2" width="38" style="2" customWidth="1"/>
    <col min="3" max="3" width="20" style="2" customWidth="1"/>
    <col min="4" max="4" width="27.09765625" style="2" customWidth="1"/>
    <col min="5" max="5" width="20" style="2" customWidth="1"/>
    <col min="6" max="6" width="68" style="2" customWidth="1"/>
    <col min="7" max="9" width="14" style="2" customWidth="1"/>
    <col min="10" max="16384" width="8.796875" style="2"/>
  </cols>
  <sheetData>
    <row r="1" spans="1:10" ht="87" customHeight="1">
      <c r="A1" s="6"/>
      <c r="B1" s="93"/>
      <c r="C1" s="93"/>
      <c r="D1" s="94" t="s">
        <v>0</v>
      </c>
      <c r="E1" s="94"/>
      <c r="F1" s="94"/>
      <c r="G1" s="94"/>
      <c r="H1" s="94"/>
      <c r="I1" s="94"/>
      <c r="J1" s="6"/>
    </row>
    <row r="2" spans="1:10" ht="22.35" customHeight="1">
      <c r="A2" s="6"/>
      <c r="B2" s="106" t="s">
        <v>422</v>
      </c>
      <c r="C2" s="106" t="s">
        <v>68</v>
      </c>
      <c r="D2" s="106" t="s">
        <v>68</v>
      </c>
      <c r="E2" s="106" t="s">
        <v>68</v>
      </c>
      <c r="F2" s="106" t="s">
        <v>68</v>
      </c>
      <c r="G2" s="106" t="s">
        <v>68</v>
      </c>
      <c r="H2" s="106" t="s">
        <v>68</v>
      </c>
      <c r="I2" s="106" t="s">
        <v>68</v>
      </c>
      <c r="J2" s="6"/>
    </row>
    <row r="3" spans="1:10" ht="16.8">
      <c r="A3" s="6"/>
      <c r="B3" s="1"/>
      <c r="C3" s="1"/>
      <c r="D3" s="1"/>
      <c r="E3" s="1"/>
      <c r="F3" s="1"/>
      <c r="G3" s="1"/>
      <c r="H3" s="1"/>
      <c r="I3" s="1"/>
      <c r="J3" s="6"/>
    </row>
    <row r="4" spans="1:10" ht="25.8" customHeight="1">
      <c r="A4" s="6"/>
      <c r="B4" s="107" t="s">
        <v>69</v>
      </c>
      <c r="C4" s="107" t="s">
        <v>69</v>
      </c>
      <c r="D4" s="107" t="s">
        <v>69</v>
      </c>
      <c r="E4" s="107" t="s">
        <v>69</v>
      </c>
      <c r="F4" s="107" t="s">
        <v>69</v>
      </c>
      <c r="G4" s="107" t="s">
        <v>69</v>
      </c>
      <c r="H4" s="107" t="s">
        <v>69</v>
      </c>
      <c r="I4" s="107" t="s">
        <v>69</v>
      </c>
      <c r="J4" s="6"/>
    </row>
    <row r="5" spans="1:10" ht="25.65" customHeight="1">
      <c r="A5" s="6"/>
      <c r="B5" s="96" t="s">
        <v>70</v>
      </c>
      <c r="C5" s="96"/>
      <c r="D5" s="103" t="s">
        <v>71</v>
      </c>
      <c r="E5" s="103"/>
      <c r="F5" s="96" t="s">
        <v>72</v>
      </c>
      <c r="G5" s="96"/>
      <c r="H5" s="103" t="s">
        <v>73</v>
      </c>
      <c r="I5" s="103"/>
      <c r="J5" s="6"/>
    </row>
    <row r="6" spans="1:10" ht="25.65" customHeight="1">
      <c r="A6" s="6"/>
      <c r="B6" s="96" t="s">
        <v>74</v>
      </c>
      <c r="C6" s="96"/>
      <c r="D6" s="103" t="s">
        <v>75</v>
      </c>
      <c r="E6" s="103"/>
      <c r="F6" s="96" t="s">
        <v>76</v>
      </c>
      <c r="G6" s="96"/>
      <c r="H6" s="103" t="s">
        <v>77</v>
      </c>
      <c r="I6" s="103"/>
      <c r="J6" s="6"/>
    </row>
    <row r="7" spans="1:10" ht="25.65" customHeight="1">
      <c r="A7" s="6"/>
      <c r="B7" s="96" t="s">
        <v>78</v>
      </c>
      <c r="C7" s="96"/>
      <c r="D7" s="104">
        <v>2400000000</v>
      </c>
      <c r="E7" s="104"/>
      <c r="F7" s="96" t="s">
        <v>79</v>
      </c>
      <c r="G7" s="96"/>
      <c r="H7" s="105">
        <v>8400</v>
      </c>
      <c r="I7" s="105"/>
      <c r="J7" s="6"/>
    </row>
    <row r="8" spans="1:10" ht="25.65" customHeight="1">
      <c r="A8" s="6"/>
      <c r="B8" s="96" t="s">
        <v>80</v>
      </c>
      <c r="C8" s="96"/>
      <c r="D8" s="103" t="s">
        <v>81</v>
      </c>
      <c r="E8" s="103"/>
      <c r="F8" s="96" t="s">
        <v>82</v>
      </c>
      <c r="G8" s="96"/>
      <c r="H8" s="103" t="s">
        <v>83</v>
      </c>
      <c r="I8" s="103"/>
      <c r="J8" s="6"/>
    </row>
    <row r="9" spans="1:10" ht="25.65" customHeight="1">
      <c r="A9" s="6"/>
      <c r="B9" s="96" t="s">
        <v>84</v>
      </c>
      <c r="C9" s="96"/>
      <c r="D9" s="103" t="s">
        <v>85</v>
      </c>
      <c r="E9" s="103"/>
      <c r="F9" s="96" t="s">
        <v>86</v>
      </c>
      <c r="G9" s="96"/>
      <c r="H9" s="103" t="s">
        <v>87</v>
      </c>
      <c r="I9" s="103"/>
      <c r="J9" s="6"/>
    </row>
    <row r="10" spans="1:10" ht="25.65" customHeight="1">
      <c r="A10" s="6"/>
      <c r="B10" s="96" t="s">
        <v>88</v>
      </c>
      <c r="C10" s="96"/>
      <c r="D10" s="101">
        <v>2025</v>
      </c>
      <c r="E10" s="101"/>
      <c r="F10" s="96" t="s">
        <v>89</v>
      </c>
      <c r="G10" s="96"/>
      <c r="H10" s="102">
        <v>46214</v>
      </c>
      <c r="I10" s="102"/>
      <c r="J10" s="6"/>
    </row>
    <row r="11" spans="1:10" ht="32.4" customHeight="1">
      <c r="A11" s="6"/>
      <c r="B11" s="96" t="s">
        <v>90</v>
      </c>
      <c r="C11" s="96"/>
      <c r="D11" s="103" t="s">
        <v>91</v>
      </c>
      <c r="E11" s="103"/>
      <c r="F11" s="96" t="s">
        <v>92</v>
      </c>
      <c r="G11" s="96"/>
      <c r="H11" s="103" t="s">
        <v>93</v>
      </c>
      <c r="I11" s="103"/>
      <c r="J11" s="6"/>
    </row>
    <row r="12" spans="1:10" ht="28.8" customHeight="1">
      <c r="A12" s="6"/>
      <c r="B12" s="95" t="s">
        <v>94</v>
      </c>
      <c r="C12" s="95"/>
      <c r="D12" s="95"/>
      <c r="E12" s="95"/>
      <c r="F12" s="95"/>
      <c r="G12" s="3"/>
      <c r="H12" s="3"/>
      <c r="I12" s="3"/>
      <c r="J12" s="6"/>
    </row>
    <row r="13" spans="1:10" ht="41.4" customHeight="1">
      <c r="A13" s="6"/>
      <c r="B13" s="11" t="s">
        <v>95</v>
      </c>
      <c r="C13" s="11" t="s">
        <v>96</v>
      </c>
      <c r="D13" s="11" t="s">
        <v>97</v>
      </c>
      <c r="E13" s="11" t="s">
        <v>98</v>
      </c>
      <c r="F13" s="11" t="s">
        <v>99</v>
      </c>
      <c r="G13" s="4"/>
      <c r="H13" s="1"/>
      <c r="I13" s="1"/>
    </row>
    <row r="14" spans="1:10" ht="31.2" customHeight="1">
      <c r="A14" s="6"/>
      <c r="B14" s="14" t="s">
        <v>100</v>
      </c>
      <c r="C14" s="23" t="s">
        <v>101</v>
      </c>
      <c r="D14" s="23" t="s">
        <v>102</v>
      </c>
      <c r="E14" s="23" t="s">
        <v>103</v>
      </c>
      <c r="F14" s="24" t="s">
        <v>104</v>
      </c>
      <c r="G14" s="4"/>
      <c r="H14" s="1"/>
      <c r="I14" s="1"/>
    </row>
    <row r="15" spans="1:10" ht="31.2" customHeight="1">
      <c r="A15" s="6"/>
      <c r="B15" s="14" t="s">
        <v>105</v>
      </c>
      <c r="C15" s="23" t="s">
        <v>106</v>
      </c>
      <c r="D15" s="23" t="s">
        <v>107</v>
      </c>
      <c r="E15" s="23" t="s">
        <v>103</v>
      </c>
      <c r="F15" s="24" t="s">
        <v>108</v>
      </c>
      <c r="G15" s="4"/>
      <c r="H15" s="1"/>
      <c r="I15" s="1"/>
    </row>
    <row r="16" spans="1:10" ht="31.2" customHeight="1">
      <c r="A16" s="6"/>
      <c r="B16" s="14" t="s">
        <v>109</v>
      </c>
      <c r="C16" s="23" t="s">
        <v>106</v>
      </c>
      <c r="D16" s="23" t="s">
        <v>102</v>
      </c>
      <c r="E16" s="23" t="s">
        <v>102</v>
      </c>
      <c r="F16" s="24" t="s">
        <v>110</v>
      </c>
      <c r="G16" s="4"/>
      <c r="H16" s="1"/>
      <c r="I16" s="1"/>
    </row>
    <row r="17" spans="1:9" ht="31.2" customHeight="1">
      <c r="A17" s="6"/>
      <c r="B17" s="14" t="s">
        <v>111</v>
      </c>
      <c r="C17" s="23" t="s">
        <v>102</v>
      </c>
      <c r="D17" s="23" t="s">
        <v>102</v>
      </c>
      <c r="E17" s="23" t="s">
        <v>112</v>
      </c>
      <c r="F17" s="24" t="s">
        <v>113</v>
      </c>
      <c r="G17" s="4"/>
      <c r="H17" s="1"/>
      <c r="I17" s="1"/>
    </row>
    <row r="18" spans="1:9" ht="31.2" customHeight="1">
      <c r="A18" s="6"/>
      <c r="B18" s="14" t="s">
        <v>114</v>
      </c>
      <c r="C18" s="23" t="s">
        <v>101</v>
      </c>
      <c r="D18" s="23" t="s">
        <v>115</v>
      </c>
      <c r="E18" s="23" t="s">
        <v>112</v>
      </c>
      <c r="F18" s="24" t="s">
        <v>116</v>
      </c>
      <c r="G18" s="4"/>
      <c r="H18" s="1"/>
      <c r="I18" s="1"/>
    </row>
    <row r="19" spans="1:9" ht="31.2" customHeight="1">
      <c r="A19" s="6"/>
      <c r="B19" s="14" t="s">
        <v>117</v>
      </c>
      <c r="C19" s="23" t="s">
        <v>106</v>
      </c>
      <c r="D19" s="23" t="s">
        <v>102</v>
      </c>
      <c r="E19" s="23" t="s">
        <v>103</v>
      </c>
      <c r="F19" s="24" t="s">
        <v>118</v>
      </c>
      <c r="G19" s="4"/>
      <c r="H19" s="1"/>
      <c r="I19" s="1"/>
    </row>
    <row r="20" spans="1:9" ht="31.2" customHeight="1">
      <c r="A20" s="6"/>
      <c r="B20" s="14" t="s">
        <v>119</v>
      </c>
      <c r="C20" s="23" t="s">
        <v>106</v>
      </c>
      <c r="D20" s="23" t="s">
        <v>115</v>
      </c>
      <c r="E20" s="23" t="s">
        <v>112</v>
      </c>
      <c r="F20" s="24" t="s">
        <v>120</v>
      </c>
      <c r="G20" s="4"/>
      <c r="H20" s="1"/>
      <c r="I20" s="1"/>
    </row>
    <row r="21" spans="1:9" ht="31.2" customHeight="1">
      <c r="A21" s="6"/>
      <c r="B21" s="14" t="s">
        <v>121</v>
      </c>
      <c r="C21" s="23" t="s">
        <v>106</v>
      </c>
      <c r="D21" s="23" t="s">
        <v>102</v>
      </c>
      <c r="E21" s="23" t="s">
        <v>103</v>
      </c>
      <c r="F21" s="24" t="s">
        <v>122</v>
      </c>
      <c r="G21" s="4"/>
      <c r="H21" s="1"/>
      <c r="I21" s="1"/>
    </row>
    <row r="22" spans="1:9" ht="28.8" customHeight="1">
      <c r="A22" s="6"/>
      <c r="B22" s="95" t="s">
        <v>123</v>
      </c>
      <c r="C22" s="95"/>
      <c r="D22" s="95"/>
      <c r="E22" s="95"/>
      <c r="F22" s="95"/>
      <c r="G22" s="5"/>
      <c r="H22" s="8"/>
      <c r="I22" s="8"/>
    </row>
    <row r="23" spans="1:9" ht="45.6" customHeight="1">
      <c r="A23" s="6"/>
      <c r="B23" s="12" t="s">
        <v>95</v>
      </c>
      <c r="C23" s="12" t="s">
        <v>96</v>
      </c>
      <c r="D23" s="12" t="s">
        <v>97</v>
      </c>
      <c r="E23" s="12" t="s">
        <v>98</v>
      </c>
      <c r="F23" s="12" t="s">
        <v>99</v>
      </c>
      <c r="G23" s="4"/>
      <c r="H23" s="1"/>
      <c r="I23" s="1"/>
    </row>
    <row r="24" spans="1:9" ht="31.2" customHeight="1">
      <c r="A24" s="6"/>
      <c r="B24" s="13" t="s">
        <v>124</v>
      </c>
      <c r="C24" s="25" t="s">
        <v>101</v>
      </c>
      <c r="D24" s="25" t="s">
        <v>102</v>
      </c>
      <c r="E24" s="25" t="s">
        <v>103</v>
      </c>
      <c r="F24" s="22" t="s">
        <v>125</v>
      </c>
      <c r="G24" s="4"/>
      <c r="H24" s="1"/>
      <c r="I24" s="1"/>
    </row>
    <row r="25" spans="1:9" ht="31.2" customHeight="1">
      <c r="A25" s="6"/>
      <c r="B25" s="13" t="s">
        <v>126</v>
      </c>
      <c r="C25" s="25" t="s">
        <v>102</v>
      </c>
      <c r="D25" s="25" t="s">
        <v>107</v>
      </c>
      <c r="E25" s="25" t="s">
        <v>103</v>
      </c>
      <c r="F25" s="22" t="s">
        <v>127</v>
      </c>
      <c r="G25" s="4"/>
      <c r="H25" s="1"/>
      <c r="I25" s="1"/>
    </row>
    <row r="26" spans="1:9" ht="31.2" customHeight="1">
      <c r="A26" s="6"/>
      <c r="B26" s="13" t="s">
        <v>128</v>
      </c>
      <c r="C26" s="25" t="s">
        <v>102</v>
      </c>
      <c r="D26" s="25" t="s">
        <v>102</v>
      </c>
      <c r="E26" s="25" t="s">
        <v>102</v>
      </c>
      <c r="F26" s="22" t="s">
        <v>129</v>
      </c>
      <c r="G26" s="4"/>
      <c r="H26" s="1"/>
      <c r="I26" s="1"/>
    </row>
    <row r="27" spans="1:9" ht="31.2" customHeight="1">
      <c r="A27" s="6"/>
      <c r="B27" s="13" t="s">
        <v>130</v>
      </c>
      <c r="C27" s="25" t="s">
        <v>102</v>
      </c>
      <c r="D27" s="25" t="s">
        <v>102</v>
      </c>
      <c r="E27" s="25" t="s">
        <v>102</v>
      </c>
      <c r="F27" s="22" t="s">
        <v>131</v>
      </c>
      <c r="G27" s="4"/>
      <c r="H27" s="1"/>
      <c r="I27" s="1"/>
    </row>
    <row r="28" spans="1:9" ht="31.2" customHeight="1">
      <c r="A28" s="6"/>
      <c r="B28" s="13" t="s">
        <v>132</v>
      </c>
      <c r="C28" s="25" t="s">
        <v>106</v>
      </c>
      <c r="D28" s="25" t="s">
        <v>102</v>
      </c>
      <c r="E28" s="25" t="s">
        <v>112</v>
      </c>
      <c r="F28" s="22" t="s">
        <v>133</v>
      </c>
      <c r="G28" s="4"/>
      <c r="H28" s="1"/>
      <c r="I28" s="1"/>
    </row>
    <row r="29" spans="1:9" ht="31.2" customHeight="1">
      <c r="A29" s="6"/>
      <c r="B29" s="13" t="s">
        <v>134</v>
      </c>
      <c r="C29" s="25" t="s">
        <v>106</v>
      </c>
      <c r="D29" s="25" t="s">
        <v>115</v>
      </c>
      <c r="E29" s="25" t="s">
        <v>135</v>
      </c>
      <c r="F29" s="22" t="s">
        <v>136</v>
      </c>
      <c r="G29" s="4"/>
      <c r="H29" s="1"/>
      <c r="I29" s="1"/>
    </row>
    <row r="30" spans="1:9" ht="31.2" customHeight="1">
      <c r="A30" s="6"/>
      <c r="B30" s="13" t="s">
        <v>137</v>
      </c>
      <c r="C30" s="25" t="s">
        <v>101</v>
      </c>
      <c r="D30" s="25" t="s">
        <v>102</v>
      </c>
      <c r="E30" s="25" t="s">
        <v>102</v>
      </c>
      <c r="F30" s="22" t="s">
        <v>138</v>
      </c>
      <c r="G30" s="4"/>
      <c r="H30" s="1"/>
      <c r="I30" s="1"/>
    </row>
    <row r="31" spans="1:9" ht="31.2" customHeight="1">
      <c r="A31" s="6"/>
      <c r="B31" s="13" t="s">
        <v>139</v>
      </c>
      <c r="C31" s="25" t="s">
        <v>140</v>
      </c>
      <c r="D31" s="25" t="s">
        <v>107</v>
      </c>
      <c r="E31" s="25" t="s">
        <v>103</v>
      </c>
      <c r="F31" s="22" t="s">
        <v>141</v>
      </c>
      <c r="G31" s="4"/>
      <c r="H31" s="1"/>
      <c r="I31" s="1"/>
    </row>
    <row r="32" spans="1:9" s="10" customFormat="1" ht="28.2" customHeight="1">
      <c r="A32" s="15"/>
      <c r="B32" s="95" t="s">
        <v>142</v>
      </c>
      <c r="C32" s="95"/>
      <c r="D32" s="95"/>
      <c r="E32" s="95"/>
      <c r="F32" s="95"/>
      <c r="G32" s="7"/>
      <c r="H32" s="9"/>
      <c r="I32" s="9"/>
    </row>
    <row r="33" spans="1:10" ht="42" customHeight="1">
      <c r="A33" s="6"/>
      <c r="B33" s="12" t="s">
        <v>95</v>
      </c>
      <c r="C33" s="12" t="s">
        <v>96</v>
      </c>
      <c r="D33" s="12" t="s">
        <v>97</v>
      </c>
      <c r="E33" s="12" t="s">
        <v>98</v>
      </c>
      <c r="F33" s="12" t="s">
        <v>99</v>
      </c>
      <c r="G33" s="4"/>
      <c r="H33" s="1"/>
      <c r="I33" s="1"/>
    </row>
    <row r="34" spans="1:10" ht="31.2" customHeight="1">
      <c r="A34" s="6"/>
      <c r="B34" s="13" t="s">
        <v>143</v>
      </c>
      <c r="C34" s="25" t="s">
        <v>102</v>
      </c>
      <c r="D34" s="25" t="s">
        <v>107</v>
      </c>
      <c r="E34" s="25" t="s">
        <v>103</v>
      </c>
      <c r="F34" s="22" t="s">
        <v>144</v>
      </c>
      <c r="G34" s="4"/>
      <c r="H34" s="1"/>
      <c r="I34" s="1"/>
    </row>
    <row r="35" spans="1:10" ht="31.2" customHeight="1">
      <c r="A35" s="6"/>
      <c r="B35" s="13" t="s">
        <v>145</v>
      </c>
      <c r="C35" s="25" t="s">
        <v>102</v>
      </c>
      <c r="D35" s="25" t="s">
        <v>102</v>
      </c>
      <c r="E35" s="25" t="s">
        <v>102</v>
      </c>
      <c r="F35" s="22" t="s">
        <v>146</v>
      </c>
      <c r="G35" s="4"/>
      <c r="H35" s="1"/>
      <c r="I35" s="1"/>
    </row>
    <row r="36" spans="1:10" ht="31.2" customHeight="1">
      <c r="A36" s="6"/>
      <c r="B36" s="13" t="s">
        <v>147</v>
      </c>
      <c r="C36" s="25" t="s">
        <v>106</v>
      </c>
      <c r="D36" s="25" t="s">
        <v>107</v>
      </c>
      <c r="E36" s="25" t="s">
        <v>103</v>
      </c>
      <c r="F36" s="22" t="s">
        <v>148</v>
      </c>
      <c r="G36" s="4"/>
      <c r="H36" s="1"/>
      <c r="I36" s="1"/>
    </row>
    <row r="37" spans="1:10" ht="31.2" customHeight="1">
      <c r="A37" s="6"/>
      <c r="B37" s="13" t="s">
        <v>149</v>
      </c>
      <c r="C37" s="25" t="s">
        <v>106</v>
      </c>
      <c r="D37" s="25" t="s">
        <v>102</v>
      </c>
      <c r="E37" s="25" t="s">
        <v>103</v>
      </c>
      <c r="F37" s="22" t="s">
        <v>150</v>
      </c>
      <c r="G37" s="4"/>
      <c r="H37" s="1"/>
      <c r="I37" s="1"/>
    </row>
    <row r="38" spans="1:10" ht="31.2" customHeight="1">
      <c r="A38" s="6"/>
      <c r="B38" s="13" t="s">
        <v>151</v>
      </c>
      <c r="C38" s="25" t="s">
        <v>106</v>
      </c>
      <c r="D38" s="25" t="s">
        <v>107</v>
      </c>
      <c r="E38" s="25" t="s">
        <v>103</v>
      </c>
      <c r="F38" s="22" t="s">
        <v>152</v>
      </c>
      <c r="G38" s="4"/>
      <c r="H38" s="1"/>
      <c r="I38" s="1"/>
    </row>
    <row r="39" spans="1:10" ht="31.2" customHeight="1">
      <c r="A39" s="6"/>
      <c r="B39" s="13" t="s">
        <v>153</v>
      </c>
      <c r="C39" s="25" t="s">
        <v>102</v>
      </c>
      <c r="D39" s="25" t="s">
        <v>102</v>
      </c>
      <c r="E39" s="25" t="s">
        <v>102</v>
      </c>
      <c r="F39" s="22" t="s">
        <v>154</v>
      </c>
      <c r="G39" s="4"/>
      <c r="H39" s="1"/>
      <c r="I39" s="1"/>
    </row>
    <row r="40" spans="1:10" ht="31.2" customHeight="1">
      <c r="A40" s="6"/>
      <c r="B40" s="13" t="s">
        <v>155</v>
      </c>
      <c r="C40" s="25" t="s">
        <v>102</v>
      </c>
      <c r="D40" s="25" t="s">
        <v>102</v>
      </c>
      <c r="E40" s="25" t="s">
        <v>112</v>
      </c>
      <c r="F40" s="22" t="s">
        <v>156</v>
      </c>
      <c r="G40" s="4"/>
      <c r="H40" s="1"/>
      <c r="I40" s="1"/>
    </row>
    <row r="41" spans="1:10" ht="31.2" customHeight="1">
      <c r="A41" s="6"/>
      <c r="B41" s="13" t="s">
        <v>157</v>
      </c>
      <c r="C41" s="25" t="s">
        <v>106</v>
      </c>
      <c r="D41" s="25" t="s">
        <v>102</v>
      </c>
      <c r="E41" s="25" t="s">
        <v>102</v>
      </c>
      <c r="F41" s="22" t="s">
        <v>158</v>
      </c>
      <c r="G41" s="4"/>
      <c r="H41" s="1"/>
      <c r="I41" s="1"/>
    </row>
    <row r="42" spans="1:10" ht="30" customHeight="1">
      <c r="A42" s="6"/>
      <c r="B42" s="95" t="s">
        <v>159</v>
      </c>
      <c r="C42" s="95"/>
      <c r="D42" s="95"/>
      <c r="E42" s="95"/>
      <c r="F42" s="95"/>
      <c r="G42" s="95"/>
      <c r="H42" s="95"/>
      <c r="I42" s="95"/>
      <c r="J42" s="6"/>
    </row>
    <row r="43" spans="1:10" ht="25.65" customHeight="1">
      <c r="A43" s="6"/>
      <c r="B43" s="96" t="s">
        <v>160</v>
      </c>
      <c r="C43" s="96"/>
      <c r="D43" s="100">
        <v>2</v>
      </c>
      <c r="E43" s="100"/>
      <c r="F43" s="96" t="s">
        <v>161</v>
      </c>
      <c r="G43" s="96"/>
      <c r="H43" s="98" t="s">
        <v>162</v>
      </c>
      <c r="I43" s="98"/>
      <c r="J43" s="6"/>
    </row>
    <row r="44" spans="1:10" ht="25.65" customHeight="1">
      <c r="A44" s="6"/>
      <c r="B44" s="96" t="s">
        <v>163</v>
      </c>
      <c r="C44" s="96"/>
      <c r="D44" s="98" t="s">
        <v>164</v>
      </c>
      <c r="E44" s="98"/>
      <c r="F44" s="96" t="s">
        <v>165</v>
      </c>
      <c r="G44" s="96"/>
      <c r="H44" s="98" t="s">
        <v>166</v>
      </c>
      <c r="I44" s="98"/>
      <c r="J44" s="6"/>
    </row>
    <row r="45" spans="1:10" ht="25.65" customHeight="1">
      <c r="A45" s="6"/>
      <c r="B45" s="96" t="s">
        <v>167</v>
      </c>
      <c r="C45" s="96"/>
      <c r="D45" s="98" t="s">
        <v>102</v>
      </c>
      <c r="E45" s="98"/>
      <c r="F45" s="96" t="s">
        <v>168</v>
      </c>
      <c r="G45" s="96"/>
      <c r="H45" s="98" t="s">
        <v>164</v>
      </c>
      <c r="I45" s="98"/>
      <c r="J45" s="6"/>
    </row>
    <row r="46" spans="1:10" ht="25.65" customHeight="1">
      <c r="A46" s="6"/>
      <c r="B46" s="96" t="s">
        <v>169</v>
      </c>
      <c r="C46" s="96"/>
      <c r="D46" s="98" t="s">
        <v>164</v>
      </c>
      <c r="E46" s="98"/>
      <c r="F46" s="96" t="s">
        <v>170</v>
      </c>
      <c r="G46" s="96"/>
      <c r="H46" s="98" t="s">
        <v>164</v>
      </c>
      <c r="I46" s="98"/>
      <c r="J46" s="6"/>
    </row>
    <row r="47" spans="1:10" ht="25.65" customHeight="1">
      <c r="A47" s="6"/>
      <c r="B47" s="96" t="s">
        <v>171</v>
      </c>
      <c r="C47" s="96"/>
      <c r="D47" s="98" t="s">
        <v>172</v>
      </c>
      <c r="E47" s="98"/>
      <c r="F47" s="96" t="s">
        <v>173</v>
      </c>
      <c r="G47" s="96"/>
      <c r="H47" s="98" t="s">
        <v>172</v>
      </c>
      <c r="I47" s="98"/>
      <c r="J47" s="6"/>
    </row>
    <row r="48" spans="1:10" ht="25.65" customHeight="1">
      <c r="A48" s="6"/>
      <c r="B48" s="96" t="s">
        <v>174</v>
      </c>
      <c r="C48" s="96"/>
      <c r="D48" s="98" t="s">
        <v>172</v>
      </c>
      <c r="E48" s="98"/>
      <c r="F48" s="96" t="s">
        <v>175</v>
      </c>
      <c r="G48" s="96"/>
      <c r="H48" s="99">
        <f>'Scoring Engine'!$C$54</f>
        <v>23.4</v>
      </c>
      <c r="I48" s="99"/>
      <c r="J48" s="6"/>
    </row>
    <row r="49" spans="1:10" ht="27" customHeight="1">
      <c r="A49" s="6"/>
      <c r="B49" s="95" t="s">
        <v>176</v>
      </c>
      <c r="C49" s="95"/>
      <c r="D49" s="95"/>
      <c r="E49" s="95"/>
      <c r="F49" s="95"/>
      <c r="G49" s="95"/>
      <c r="H49" s="95"/>
      <c r="I49" s="95"/>
      <c r="J49" s="6"/>
    </row>
    <row r="50" spans="1:10" ht="16.2">
      <c r="A50" s="6"/>
      <c r="B50" s="96" t="s">
        <v>177</v>
      </c>
      <c r="C50" s="96"/>
      <c r="D50" s="98" t="s">
        <v>178</v>
      </c>
      <c r="E50" s="98"/>
      <c r="F50" s="96" t="s">
        <v>179</v>
      </c>
      <c r="G50" s="96"/>
      <c r="H50" s="98" t="s">
        <v>180</v>
      </c>
      <c r="I50" s="98"/>
      <c r="J50" s="6"/>
    </row>
    <row r="51" spans="1:10" ht="16.2">
      <c r="A51" s="6"/>
      <c r="B51" s="96" t="s">
        <v>181</v>
      </c>
      <c r="C51" s="96"/>
      <c r="D51" s="97">
        <v>0.05</v>
      </c>
      <c r="E51" s="97"/>
      <c r="F51" s="96" t="s">
        <v>182</v>
      </c>
      <c r="G51" s="96"/>
      <c r="H51" s="97">
        <v>0.4</v>
      </c>
      <c r="I51" s="97"/>
      <c r="J51" s="6"/>
    </row>
    <row r="52" spans="1:10" ht="16.2">
      <c r="A52" s="6"/>
      <c r="B52" s="96" t="s">
        <v>183</v>
      </c>
      <c r="C52" s="96"/>
      <c r="D52" s="97">
        <v>0.05</v>
      </c>
      <c r="E52" s="97"/>
      <c r="F52" s="96" t="s">
        <v>184</v>
      </c>
      <c r="G52" s="96"/>
      <c r="H52" s="97">
        <v>0.3</v>
      </c>
      <c r="I52" s="97"/>
      <c r="J52" s="6"/>
    </row>
    <row r="53" spans="1:10" ht="16.2">
      <c r="A53" s="6"/>
      <c r="B53" s="96" t="s">
        <v>185</v>
      </c>
      <c r="C53" s="96"/>
      <c r="D53" s="97">
        <v>-0.1</v>
      </c>
      <c r="E53" s="97"/>
      <c r="F53" s="96" t="s">
        <v>186</v>
      </c>
      <c r="G53" s="96"/>
      <c r="H53" s="97">
        <v>0.3</v>
      </c>
      <c r="I53" s="97"/>
      <c r="J53" s="6"/>
    </row>
    <row r="54" spans="1:10">
      <c r="A54" s="6"/>
      <c r="B54" s="91" t="str">
        <f>IF(COUNTBLANK(C14:E21)+COUNTBLANK(C24:E31)+COUNTBLANK(C34:E41)&gt;0,"Warning: Some ESG assessment inputs are incomplete.","All ESG assessment inputs are complete.")</f>
        <v>All ESG assessment inputs are complete.</v>
      </c>
      <c r="C54" s="91"/>
      <c r="D54" s="91"/>
      <c r="E54" s="91"/>
      <c r="F54" s="92" t="str">
        <f>IF(ABS(SUM(H51:H53)-100%)&lt;0.0001,"Custom pillar weights total 100%.","Warning: Custom pillar weights total "&amp;TEXT(SUM(H51:H53),"0.0%")&amp;".")</f>
        <v>Custom pillar weights total 100%.</v>
      </c>
      <c r="G54" s="92"/>
      <c r="H54" s="92"/>
      <c r="I54" s="92"/>
      <c r="J54" s="6"/>
    </row>
    <row r="55" spans="1:10">
      <c r="A55" s="6"/>
      <c r="B55" s="91"/>
      <c r="C55" s="91"/>
      <c r="D55" s="91"/>
      <c r="E55" s="91"/>
      <c r="F55" s="92"/>
      <c r="G55" s="92"/>
      <c r="H55" s="92"/>
      <c r="I55" s="92"/>
      <c r="J55" s="6"/>
    </row>
    <row r="56" spans="1:10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</sheetData>
  <mergeCells count="79">
    <mergeCell ref="B2:I2"/>
    <mergeCell ref="B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42:I42"/>
    <mergeCell ref="B43:C43"/>
    <mergeCell ref="D43:E43"/>
    <mergeCell ref="F43:G43"/>
    <mergeCell ref="H43:I43"/>
    <mergeCell ref="B44:C44"/>
    <mergeCell ref="D44:E44"/>
    <mergeCell ref="F44:G44"/>
    <mergeCell ref="H44:I44"/>
    <mergeCell ref="B45:C45"/>
    <mergeCell ref="D45:E45"/>
    <mergeCell ref="F45:G45"/>
    <mergeCell ref="H45:I45"/>
    <mergeCell ref="B46:C46"/>
    <mergeCell ref="D46:E46"/>
    <mergeCell ref="F46:G46"/>
    <mergeCell ref="H46:I46"/>
    <mergeCell ref="B47:C47"/>
    <mergeCell ref="D47:E47"/>
    <mergeCell ref="F47:G47"/>
    <mergeCell ref="H47:I47"/>
    <mergeCell ref="B48:C48"/>
    <mergeCell ref="D48:E48"/>
    <mergeCell ref="F48:G48"/>
    <mergeCell ref="H48:I48"/>
    <mergeCell ref="B49:I49"/>
    <mergeCell ref="D50:E50"/>
    <mergeCell ref="F50:G50"/>
    <mergeCell ref="H50:I50"/>
    <mergeCell ref="B51:C51"/>
    <mergeCell ref="D51:E51"/>
    <mergeCell ref="F51:G51"/>
    <mergeCell ref="H51:I51"/>
    <mergeCell ref="B54:E55"/>
    <mergeCell ref="F54:I55"/>
    <mergeCell ref="B1:C1"/>
    <mergeCell ref="D1:I1"/>
    <mergeCell ref="B32:F32"/>
    <mergeCell ref="B22:F22"/>
    <mergeCell ref="B12:F12"/>
    <mergeCell ref="B52:C52"/>
    <mergeCell ref="D52:E52"/>
    <mergeCell ref="F52:G52"/>
    <mergeCell ref="H52:I52"/>
    <mergeCell ref="B53:C53"/>
    <mergeCell ref="D53:E53"/>
    <mergeCell ref="F53:G53"/>
    <mergeCell ref="H53:I53"/>
    <mergeCell ref="B50:C50"/>
  </mergeCells>
  <dataValidations count="10">
    <dataValidation type="list" sqref="H5:I5" xr:uid="{00000000-0002-0000-0100-000000000000}">
      <formula1>IndustryList</formula1>
    </dataValidation>
    <dataValidation type="list" sqref="D8:E8" xr:uid="{00000000-0002-0000-0100-000001000000}">
      <formula1>CompanyTypeList</formula1>
    </dataValidation>
    <dataValidation type="list" sqref="C14:C21 C34:C41 C24:C31" xr:uid="{00000000-0002-0000-0100-000002000000}">
      <formula1>ExposureLabels</formula1>
    </dataValidation>
    <dataValidation type="list" sqref="D14:D21 D34:D41 D24:D31" xr:uid="{00000000-0002-0000-0100-000003000000}">
      <formula1>ManagementLabels</formula1>
    </dataValidation>
    <dataValidation type="list" sqref="E14:E21 E34:E41 E24:E31" xr:uid="{00000000-0002-0000-0100-000004000000}">
      <formula1>DataQualityLabels</formula1>
    </dataValidation>
    <dataValidation type="list" sqref="H43:I43 D45:E45" xr:uid="{00000000-0002-0000-0100-00000B000000}">
      <formula1>SeverityLabels</formula1>
    </dataValidation>
    <dataValidation type="list" sqref="D44:E44 D46:E48 H45:I47" xr:uid="{00000000-0002-0000-0100-00000C000000}">
      <formula1>YesNoList</formula1>
    </dataValidation>
    <dataValidation type="list" sqref="H44:I44" xr:uid="{00000000-0002-0000-0100-00000D000000}">
      <formula1>RecencyLabels</formula1>
    </dataValidation>
    <dataValidation type="list" sqref="D50:E50" xr:uid="{00000000-0002-0000-0100-000015000000}">
      <formula1>ScenarioList</formula1>
    </dataValidation>
    <dataValidation type="list" sqref="H50:I50" xr:uid="{00000000-0002-0000-0100-000016000000}">
      <formula1>WeightBasisList</formula1>
    </dataValidation>
  </dataValidation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8"/>
  <sheetViews>
    <sheetView zoomScale="85" zoomScaleNormal="85" workbookViewId="0">
      <selection activeCell="Y11" sqref="Y11"/>
    </sheetView>
  </sheetViews>
  <sheetFormatPr defaultRowHeight="16.8"/>
  <cols>
    <col min="1" max="1" width="8.796875" style="2"/>
    <col min="2" max="2" width="28.59765625" style="27" customWidth="1"/>
    <col min="3" max="3" width="22" style="27" customWidth="1"/>
    <col min="4" max="4" width="65" style="27" customWidth="1"/>
    <col min="5" max="5" width="24.09765625" style="27" customWidth="1"/>
    <col min="6" max="6" width="34" style="27" customWidth="1"/>
    <col min="7" max="7" width="18" style="27" customWidth="1"/>
    <col min="8" max="8" width="22.3984375" style="27" customWidth="1"/>
    <col min="9" max="10" width="18" style="27" customWidth="1"/>
    <col min="11" max="11" width="28" style="27" customWidth="1"/>
    <col min="12" max="15" width="16" style="27" customWidth="1"/>
    <col min="16" max="17" width="14" style="27" customWidth="1"/>
    <col min="18" max="18" width="12" style="27" customWidth="1"/>
    <col min="19" max="19" width="58" style="27" customWidth="1"/>
    <col min="20" max="20" width="10" style="27" customWidth="1"/>
    <col min="21" max="22" width="15" style="27" customWidth="1"/>
    <col min="23" max="23" width="27.296875" style="27" customWidth="1"/>
    <col min="24" max="24" width="18" style="27" customWidth="1"/>
    <col min="25" max="25" width="12" style="27" customWidth="1"/>
    <col min="26" max="26" width="11.19921875" style="27" customWidth="1"/>
    <col min="27" max="16384" width="8.796875" style="27"/>
  </cols>
  <sheetData>
    <row r="1" spans="1:27" ht="66.599999999999994" customHeight="1">
      <c r="A1" s="6"/>
      <c r="B1" s="113"/>
      <c r="C1" s="113"/>
      <c r="D1" s="58" t="s">
        <v>187</v>
      </c>
      <c r="E1" s="59"/>
      <c r="F1" s="21"/>
    </row>
    <row r="2" spans="1:27" ht="27" customHeight="1">
      <c r="A2" s="6"/>
      <c r="B2" s="109" t="s">
        <v>188</v>
      </c>
      <c r="C2" s="109"/>
      <c r="D2" s="109"/>
      <c r="E2" s="60"/>
      <c r="F2" s="61"/>
    </row>
    <row r="3" spans="1:27">
      <c r="A3" s="6"/>
      <c r="E3" s="28"/>
    </row>
    <row r="4" spans="1:27" ht="31.8" customHeight="1">
      <c r="A4" s="6"/>
      <c r="B4" s="85" t="s">
        <v>189</v>
      </c>
      <c r="C4" s="85"/>
      <c r="D4" s="85"/>
      <c r="E4" s="29"/>
      <c r="F4" s="31"/>
      <c r="G4" s="31"/>
    </row>
    <row r="5" spans="1:27" ht="24" customHeight="1">
      <c r="A5" s="6"/>
      <c r="B5" s="49" t="s">
        <v>177</v>
      </c>
      <c r="C5" s="42" t="str">
        <f>'Company Assessment'!$D$50</f>
        <v>Base Case</v>
      </c>
      <c r="D5" s="42" t="s">
        <v>190</v>
      </c>
      <c r="E5" s="28"/>
    </row>
    <row r="6" spans="1:27" ht="34.799999999999997" customHeight="1">
      <c r="A6" s="6"/>
      <c r="B6" s="49" t="s">
        <v>191</v>
      </c>
      <c r="C6" s="42" t="str">
        <f>'Company Assessment'!$H$50</f>
        <v>Industry Recommended Weights</v>
      </c>
      <c r="D6" s="42" t="s">
        <v>192</v>
      </c>
      <c r="E6" s="28"/>
    </row>
    <row r="7" spans="1:27" ht="24" customHeight="1">
      <c r="A7" s="6"/>
      <c r="B7" s="49" t="s">
        <v>193</v>
      </c>
      <c r="C7" s="57">
        <v>0.7</v>
      </c>
      <c r="D7" s="42" t="s">
        <v>194</v>
      </c>
      <c r="E7" s="28"/>
    </row>
    <row r="8" spans="1:27" ht="24" customHeight="1">
      <c r="A8" s="6"/>
      <c r="B8" s="49" t="s">
        <v>195</v>
      </c>
      <c r="C8" s="57">
        <v>0.15</v>
      </c>
      <c r="D8" s="42" t="s">
        <v>196</v>
      </c>
      <c r="E8" s="28"/>
    </row>
    <row r="9" spans="1:27" ht="24" customHeight="1">
      <c r="A9" s="6"/>
      <c r="B9" s="49" t="s">
        <v>197</v>
      </c>
      <c r="C9" s="42" t="str">
        <f>'Company Assessment'!$H$5</f>
        <v>Mining</v>
      </c>
      <c r="D9" s="42" t="s">
        <v>198</v>
      </c>
      <c r="E9" s="28"/>
    </row>
    <row r="10" spans="1:27" ht="24" customHeight="1">
      <c r="A10" s="6"/>
      <c r="B10" s="49" t="s">
        <v>199</v>
      </c>
      <c r="C10" s="57">
        <v>0.3</v>
      </c>
      <c r="D10" s="42" t="s">
        <v>200</v>
      </c>
      <c r="E10" s="28"/>
    </row>
    <row r="11" spans="1:27" ht="32.4" customHeight="1">
      <c r="A11" s="6"/>
      <c r="B11" s="112" t="s">
        <v>201</v>
      </c>
      <c r="C11" s="112" t="s">
        <v>201</v>
      </c>
      <c r="D11" s="112" t="s">
        <v>201</v>
      </c>
      <c r="E11" s="112" t="s">
        <v>201</v>
      </c>
      <c r="F11" s="112" t="s">
        <v>201</v>
      </c>
      <c r="G11" s="112" t="s">
        <v>201</v>
      </c>
      <c r="H11" s="112" t="s">
        <v>201</v>
      </c>
      <c r="I11" s="112" t="s">
        <v>201</v>
      </c>
      <c r="J11" s="112" t="s">
        <v>201</v>
      </c>
      <c r="K11" s="112" t="s">
        <v>201</v>
      </c>
      <c r="L11" s="112" t="s">
        <v>201</v>
      </c>
      <c r="M11" s="112" t="s">
        <v>201</v>
      </c>
      <c r="N11" s="112" t="s">
        <v>201</v>
      </c>
      <c r="O11" s="112" t="s">
        <v>201</v>
      </c>
      <c r="P11" s="112" t="s">
        <v>201</v>
      </c>
      <c r="Q11" s="112" t="s">
        <v>201</v>
      </c>
      <c r="R11" s="112" t="s">
        <v>201</v>
      </c>
      <c r="S11" s="112" t="s">
        <v>201</v>
      </c>
      <c r="T11" s="112" t="s">
        <v>201</v>
      </c>
      <c r="U11" s="112" t="s">
        <v>201</v>
      </c>
      <c r="V11" s="112" t="s">
        <v>201</v>
      </c>
      <c r="W11" s="112" t="s">
        <v>201</v>
      </c>
      <c r="X11" s="112" t="s">
        <v>201</v>
      </c>
      <c r="Y11" s="28"/>
      <c r="Z11" s="28"/>
      <c r="AA11" s="28"/>
    </row>
    <row r="12" spans="1:27" ht="33.6" customHeight="1">
      <c r="A12" s="6"/>
      <c r="B12" s="30" t="s">
        <v>202</v>
      </c>
      <c r="C12" s="30" t="s">
        <v>203</v>
      </c>
      <c r="D12" s="30" t="s">
        <v>204</v>
      </c>
      <c r="E12" s="30" t="s">
        <v>205</v>
      </c>
      <c r="F12" s="30" t="s">
        <v>206</v>
      </c>
      <c r="G12" s="30" t="s">
        <v>207</v>
      </c>
      <c r="H12" s="30" t="s">
        <v>98</v>
      </c>
      <c r="I12" s="30" t="s">
        <v>208</v>
      </c>
      <c r="J12" s="30" t="s">
        <v>209</v>
      </c>
      <c r="K12" s="30" t="s">
        <v>210</v>
      </c>
      <c r="L12" s="30" t="s">
        <v>211</v>
      </c>
      <c r="M12" s="30" t="s">
        <v>212</v>
      </c>
      <c r="N12" s="30" t="s">
        <v>213</v>
      </c>
      <c r="O12" s="30" t="s">
        <v>214</v>
      </c>
      <c r="P12" s="30" t="s">
        <v>215</v>
      </c>
      <c r="Q12" s="30" t="s">
        <v>216</v>
      </c>
      <c r="R12" s="30" t="s">
        <v>217</v>
      </c>
      <c r="S12" s="30" t="s">
        <v>218</v>
      </c>
      <c r="T12" s="30" t="s">
        <v>219</v>
      </c>
      <c r="U12" s="30" t="s">
        <v>220</v>
      </c>
      <c r="V12" s="30" t="s">
        <v>221</v>
      </c>
      <c r="W12" s="30" t="s">
        <v>222</v>
      </c>
      <c r="X12" s="30" t="s">
        <v>223</v>
      </c>
      <c r="Y12" s="110" t="s">
        <v>224</v>
      </c>
      <c r="Z12" s="110"/>
      <c r="AA12" s="28"/>
    </row>
    <row r="13" spans="1:27" ht="28.8" customHeight="1">
      <c r="A13" s="6"/>
      <c r="B13" s="49" t="s">
        <v>225</v>
      </c>
      <c r="C13" s="49" t="s">
        <v>100</v>
      </c>
      <c r="D13" s="44" t="str">
        <f>'Company Assessment'!$C$14</f>
        <v>Very High</v>
      </c>
      <c r="E13" s="54">
        <f t="shared" ref="E13:E36" si="0">IFERROR(INDEX(ExposureScores,MATCH(D13,ExposureLabels,0)),0)</f>
        <v>100</v>
      </c>
      <c r="F13" s="44" t="str">
        <f>'Company Assessment'!$D$14</f>
        <v>Moderate</v>
      </c>
      <c r="G13" s="54">
        <f t="shared" ref="G13:G36" si="1">IFERROR(INDEX(ManagementScores,MATCH(F13,ManagementLabels,0)),0)</f>
        <v>50</v>
      </c>
      <c r="H13" s="44" t="str">
        <f>'Company Assessment'!$E$14</f>
        <v>Good</v>
      </c>
      <c r="I13" s="54">
        <f t="shared" ref="I13:I36" si="2">IFERROR(INDEX(DataQualityScores,MATCH(H13,DataQualityLabels,0)),0)</f>
        <v>80</v>
      </c>
      <c r="J13" s="55">
        <v>0.18</v>
      </c>
      <c r="K13" s="54">
        <f>MIN(100,MAX(0,E13*(1+IF($C$5="Adverse Scenario",10%,IF($C$5="Custom Scenario",'Company Assessment'!$D$51,0)))))</f>
        <v>100</v>
      </c>
      <c r="L13" s="45">
        <f>MIN(100,MAX(0,G13*(1+IF($C$5="Adverse Scenario",-10%,IF($C$5="Improved Management Scenario",15%,IF($C$5="Custom Scenario",'Company Assessment'!$D$52,0))))))</f>
        <v>50</v>
      </c>
      <c r="M13" s="54">
        <f t="shared" ref="M13:M36" si="3">MIN(100,MAX(0,K13*(1-(L13/100*MaxMitigation))))</f>
        <v>65</v>
      </c>
      <c r="N13" s="54">
        <f t="shared" ref="N13:N36" si="4">MAX(0,(100-I13)*UncertaintyFactor)</f>
        <v>3</v>
      </c>
      <c r="O13" s="54">
        <f t="shared" ref="O13:O36" si="5">MIN(100,M13+N13)</f>
        <v>68</v>
      </c>
      <c r="P13" s="54">
        <f t="shared" ref="P13:P36" si="6">K13-L13</f>
        <v>50</v>
      </c>
      <c r="Q13" s="54">
        <f t="shared" ref="Q13:Q36" si="7">O13*J13</f>
        <v>12.24</v>
      </c>
      <c r="R13" s="56">
        <f>RANK(Q13,$Q$13:$Q$36,0)+COUNTIF($Q$13:Q13,Q13)-1</f>
        <v>1</v>
      </c>
      <c r="S13" s="51" t="str">
        <f t="shared" ref="S13:S36" si="8">IFERROR(INDEX(FactorActions,MATCH(C13,FactorNames,0)),"Review and strengthen relevant controls.")</f>
        <v>Strengthen emissions targets, decarbonization plans and verified progress reporting.</v>
      </c>
      <c r="T13" s="56">
        <v>1</v>
      </c>
      <c r="U13" s="51">
        <f t="shared" ref="U13:U36" si="9">MIN(100,MAX(0,E13*(1-(G13/100*MaxMitigation)))+MAX(0,(100-I13)*UncertaintyFactor))</f>
        <v>68</v>
      </c>
      <c r="V13" s="51">
        <f t="shared" ref="V13:V36" si="10">MIN(100,MAX(0,MIN(100,E13*110%)*(1-(MAX(0,G13*90%)/100*MaxMitigation)))+MAX(0,(100-I13)*UncertaintyFactor))</f>
        <v>71.5</v>
      </c>
      <c r="W13" s="51">
        <f t="shared" ref="W13:W36" si="11">MIN(100,MAX(0,E13*(1-(MIN(100,G13*115%)/100*MaxMitigation)))+MAX(0,(100-I13)*UncertaintyFactor))</f>
        <v>62.75</v>
      </c>
      <c r="X13" s="51">
        <f>MIN(100,MAX(0,MIN(100,MAX(0,E13*(1+'Company Assessment'!$D$51)))*(1-(MIN(100,MAX(0,G13*(1+'Company Assessment'!$D$52)))/100*MaxMitigation)))+MAX(0,(100-I13)*UncertaintyFactor))</f>
        <v>66.25</v>
      </c>
      <c r="Y13" s="108">
        <f>RANK(P13,$P$13:$P$36,0)+COUNTIF($P$13:P13,P13)-1</f>
        <v>2</v>
      </c>
      <c r="Z13" s="108"/>
      <c r="AA13" s="28"/>
    </row>
    <row r="14" spans="1:27" ht="28.8" customHeight="1">
      <c r="A14" s="6"/>
      <c r="B14" s="49" t="s">
        <v>225</v>
      </c>
      <c r="C14" s="49" t="s">
        <v>105</v>
      </c>
      <c r="D14" s="44" t="str">
        <f>'Company Assessment'!$C$15</f>
        <v>High</v>
      </c>
      <c r="E14" s="54">
        <f t="shared" si="0"/>
        <v>75</v>
      </c>
      <c r="F14" s="44" t="str">
        <f>'Company Assessment'!$D$15</f>
        <v>Strong</v>
      </c>
      <c r="G14" s="54">
        <f t="shared" si="1"/>
        <v>75</v>
      </c>
      <c r="H14" s="44" t="str">
        <f>'Company Assessment'!$E$15</f>
        <v>Good</v>
      </c>
      <c r="I14" s="54">
        <f t="shared" si="2"/>
        <v>80</v>
      </c>
      <c r="J14" s="55">
        <v>0.1</v>
      </c>
      <c r="K14" s="54">
        <f>MIN(100,MAX(0,E14*(1+IF($C$5="Adverse Scenario",10%,IF($C$5="Custom Scenario",'Company Assessment'!$D$51,0)))))</f>
        <v>75</v>
      </c>
      <c r="L14" s="45">
        <f>MIN(100,MAX(0,G14*(1+IF($C$5="Adverse Scenario",-10%,IF($C$5="Improved Management Scenario",15%,IF($C$5="Custom Scenario",'Company Assessment'!$D$52,0))))))</f>
        <v>75</v>
      </c>
      <c r="M14" s="54">
        <f t="shared" si="3"/>
        <v>35.625000000000007</v>
      </c>
      <c r="N14" s="54">
        <f t="shared" si="4"/>
        <v>3</v>
      </c>
      <c r="O14" s="54">
        <f t="shared" si="5"/>
        <v>38.625000000000007</v>
      </c>
      <c r="P14" s="54">
        <f t="shared" si="6"/>
        <v>0</v>
      </c>
      <c r="Q14" s="54">
        <f t="shared" si="7"/>
        <v>3.8625000000000007</v>
      </c>
      <c r="R14" s="56">
        <f>RANK(Q14,$Q$13:$Q$36,0)+COUNTIF($Q$13:Q14,Q14)-1</f>
        <v>18</v>
      </c>
      <c r="S14" s="51" t="str">
        <f t="shared" si="8"/>
        <v>Implement energy-efficiency initiatives and increase lower-carbon energy sourcing.</v>
      </c>
      <c r="T14" s="56">
        <v>2</v>
      </c>
      <c r="U14" s="51">
        <f t="shared" si="9"/>
        <v>38.625000000000007</v>
      </c>
      <c r="V14" s="51">
        <f t="shared" si="10"/>
        <v>46.518750000000004</v>
      </c>
      <c r="W14" s="51">
        <f t="shared" si="11"/>
        <v>32.71875</v>
      </c>
      <c r="X14" s="51">
        <f>MIN(100,MAX(0,MIN(100,MAX(0,E14*(1+'Company Assessment'!$D$51)))*(1-(MIN(100,MAX(0,G14*(1+'Company Assessment'!$D$52)))/100*MaxMitigation)))+MAX(0,(100-I14)*UncertaintyFactor))</f>
        <v>38.339062500000004</v>
      </c>
      <c r="Y14" s="108">
        <f>RANK(P14,$P$13:$P$36,0)+COUNTIF($P$13:P14,P14)-1</f>
        <v>13</v>
      </c>
      <c r="Z14" s="108"/>
      <c r="AA14" s="28"/>
    </row>
    <row r="15" spans="1:27" ht="28.8" customHeight="1">
      <c r="A15" s="6"/>
      <c r="B15" s="49" t="s">
        <v>225</v>
      </c>
      <c r="C15" s="49" t="s">
        <v>109</v>
      </c>
      <c r="D15" s="44" t="str">
        <f>'Company Assessment'!$C$16</f>
        <v>High</v>
      </c>
      <c r="E15" s="54">
        <f t="shared" si="0"/>
        <v>75</v>
      </c>
      <c r="F15" s="44" t="str">
        <f>'Company Assessment'!$D$16</f>
        <v>Moderate</v>
      </c>
      <c r="G15" s="54">
        <f t="shared" si="1"/>
        <v>50</v>
      </c>
      <c r="H15" s="44" t="str">
        <f>'Company Assessment'!$E$16</f>
        <v>Moderate</v>
      </c>
      <c r="I15" s="54">
        <f t="shared" si="2"/>
        <v>60</v>
      </c>
      <c r="J15" s="55">
        <v>0.15</v>
      </c>
      <c r="K15" s="54">
        <f>MIN(100,MAX(0,E15*(1+IF($C$5="Adverse Scenario",10%,IF($C$5="Custom Scenario",'Company Assessment'!$D$51,0)))))</f>
        <v>75</v>
      </c>
      <c r="L15" s="45">
        <f>MIN(100,MAX(0,G15*(1+IF($C$5="Adverse Scenario",-10%,IF($C$5="Improved Management Scenario",15%,IF($C$5="Custom Scenario",'Company Assessment'!$D$52,0))))))</f>
        <v>50</v>
      </c>
      <c r="M15" s="54">
        <f t="shared" si="3"/>
        <v>48.75</v>
      </c>
      <c r="N15" s="54">
        <f t="shared" si="4"/>
        <v>6</v>
      </c>
      <c r="O15" s="54">
        <f t="shared" si="5"/>
        <v>54.75</v>
      </c>
      <c r="P15" s="54">
        <f t="shared" si="6"/>
        <v>25</v>
      </c>
      <c r="Q15" s="54">
        <f t="shared" si="7"/>
        <v>8.2125000000000004</v>
      </c>
      <c r="R15" s="56">
        <f>RANK(Q15,$Q$13:$Q$36,0)+COUNTIF($Q$13:Q15,Q15)-1</f>
        <v>6</v>
      </c>
      <c r="S15" s="51" t="str">
        <f t="shared" si="8"/>
        <v>Develop a financed transition plan with milestones, capital allocation and accountability.</v>
      </c>
      <c r="T15" s="56">
        <v>3</v>
      </c>
      <c r="U15" s="51">
        <f t="shared" si="9"/>
        <v>54.75</v>
      </c>
      <c r="V15" s="51">
        <f t="shared" si="10"/>
        <v>62.512500000000003</v>
      </c>
      <c r="W15" s="51">
        <f t="shared" si="11"/>
        <v>50.8125</v>
      </c>
      <c r="X15" s="51">
        <f>MIN(100,MAX(0,MIN(100,MAX(0,E15*(1+'Company Assessment'!$D$51)))*(1-(MIN(100,MAX(0,G15*(1+'Company Assessment'!$D$52)))/100*MaxMitigation)))+MAX(0,(100-I15)*UncertaintyFactor))</f>
        <v>55.809375000000003</v>
      </c>
      <c r="Y15" s="108">
        <f>RANK(P15,$P$13:$P$36,0)+COUNTIF($P$13:P15,P15)-1</f>
        <v>7</v>
      </c>
      <c r="Z15" s="108"/>
      <c r="AA15" s="28"/>
    </row>
    <row r="16" spans="1:27" ht="28.8" customHeight="1">
      <c r="A16" s="6"/>
      <c r="B16" s="49" t="s">
        <v>225</v>
      </c>
      <c r="C16" s="49" t="s">
        <v>111</v>
      </c>
      <c r="D16" s="44" t="str">
        <f>'Company Assessment'!$C$17</f>
        <v>Moderate</v>
      </c>
      <c r="E16" s="54">
        <f t="shared" si="0"/>
        <v>50</v>
      </c>
      <c r="F16" s="44" t="str">
        <f>'Company Assessment'!$D$17</f>
        <v>Moderate</v>
      </c>
      <c r="G16" s="54">
        <f t="shared" si="1"/>
        <v>50</v>
      </c>
      <c r="H16" s="44" t="str">
        <f>'Company Assessment'!$E$17</f>
        <v>Limited</v>
      </c>
      <c r="I16" s="54">
        <f t="shared" si="2"/>
        <v>40</v>
      </c>
      <c r="J16" s="55">
        <v>0.12</v>
      </c>
      <c r="K16" s="54">
        <f>MIN(100,MAX(0,E16*(1+IF($C$5="Adverse Scenario",10%,IF($C$5="Custom Scenario",'Company Assessment'!$D$51,0)))))</f>
        <v>50</v>
      </c>
      <c r="L16" s="45">
        <f>MIN(100,MAX(0,G16*(1+IF($C$5="Adverse Scenario",-10%,IF($C$5="Improved Management Scenario",15%,IF($C$5="Custom Scenario",'Company Assessment'!$D$52,0))))))</f>
        <v>50</v>
      </c>
      <c r="M16" s="54">
        <f t="shared" si="3"/>
        <v>32.5</v>
      </c>
      <c r="N16" s="54">
        <f t="shared" si="4"/>
        <v>9</v>
      </c>
      <c r="O16" s="54">
        <f t="shared" si="5"/>
        <v>41.5</v>
      </c>
      <c r="P16" s="54">
        <f t="shared" si="6"/>
        <v>0</v>
      </c>
      <c r="Q16" s="54">
        <f t="shared" si="7"/>
        <v>4.9799999999999995</v>
      </c>
      <c r="R16" s="56">
        <f>RANK(Q16,$Q$13:$Q$36,0)+COUNTIF($Q$13:Q16,Q16)-1</f>
        <v>16</v>
      </c>
      <c r="S16" s="51" t="str">
        <f t="shared" si="8"/>
        <v>Complete asset-level climate risk assessments and strengthen adaptation planning.</v>
      </c>
      <c r="T16" s="56">
        <v>4</v>
      </c>
      <c r="U16" s="51">
        <f t="shared" si="9"/>
        <v>41.5</v>
      </c>
      <c r="V16" s="51">
        <f t="shared" si="10"/>
        <v>46.675000000000004</v>
      </c>
      <c r="W16" s="51">
        <f t="shared" si="11"/>
        <v>38.875</v>
      </c>
      <c r="X16" s="51">
        <f>MIN(100,MAX(0,MIN(100,MAX(0,E16*(1+'Company Assessment'!$D$51)))*(1-(MIN(100,MAX(0,G16*(1+'Company Assessment'!$D$52)))/100*MaxMitigation)))+MAX(0,(100-I16)*UncertaintyFactor))</f>
        <v>42.206250000000004</v>
      </c>
      <c r="Y16" s="108">
        <f>RANK(P16,$P$13:$P$36,0)+COUNTIF($P$13:P16,P16)-1</f>
        <v>14</v>
      </c>
      <c r="Z16" s="108"/>
      <c r="AA16" s="28"/>
    </row>
    <row r="17" spans="1:27" ht="28.8" customHeight="1">
      <c r="A17" s="6"/>
      <c r="B17" s="49" t="s">
        <v>225</v>
      </c>
      <c r="C17" s="49" t="s">
        <v>114</v>
      </c>
      <c r="D17" s="44" t="str">
        <f>'Company Assessment'!$C$18</f>
        <v>Very High</v>
      </c>
      <c r="E17" s="54">
        <f t="shared" si="0"/>
        <v>100</v>
      </c>
      <c r="F17" s="44" t="str">
        <f>'Company Assessment'!$D$18</f>
        <v>Weak</v>
      </c>
      <c r="G17" s="54">
        <f t="shared" si="1"/>
        <v>30</v>
      </c>
      <c r="H17" s="44" t="str">
        <f>'Company Assessment'!$E$18</f>
        <v>Limited</v>
      </c>
      <c r="I17" s="54">
        <f t="shared" si="2"/>
        <v>40</v>
      </c>
      <c r="J17" s="55">
        <v>0.12</v>
      </c>
      <c r="K17" s="54">
        <f>MIN(100,MAX(0,E17*(1+IF($C$5="Adverse Scenario",10%,IF($C$5="Custom Scenario",'Company Assessment'!$D$51,0)))))</f>
        <v>100</v>
      </c>
      <c r="L17" s="45">
        <f>MIN(100,MAX(0,G17*(1+IF($C$5="Adverse Scenario",-10%,IF($C$5="Improved Management Scenario",15%,IF($C$5="Custom Scenario",'Company Assessment'!$D$52,0))))))</f>
        <v>30</v>
      </c>
      <c r="M17" s="54">
        <f t="shared" si="3"/>
        <v>79</v>
      </c>
      <c r="N17" s="54">
        <f t="shared" si="4"/>
        <v>9</v>
      </c>
      <c r="O17" s="54">
        <f t="shared" si="5"/>
        <v>88</v>
      </c>
      <c r="P17" s="54">
        <f t="shared" si="6"/>
        <v>70</v>
      </c>
      <c r="Q17" s="54">
        <f t="shared" si="7"/>
        <v>10.559999999999999</v>
      </c>
      <c r="R17" s="56">
        <f>RANK(Q17,$Q$13:$Q$36,0)+COUNTIF($Q$13:Q17,Q17)-1</f>
        <v>3</v>
      </c>
      <c r="S17" s="51" t="str">
        <f t="shared" si="8"/>
        <v>Set basin-specific water targets and expand water stewardship controls.</v>
      </c>
      <c r="T17" s="56">
        <v>5</v>
      </c>
      <c r="U17" s="51">
        <f t="shared" si="9"/>
        <v>88</v>
      </c>
      <c r="V17" s="51">
        <f t="shared" si="10"/>
        <v>90.1</v>
      </c>
      <c r="W17" s="51">
        <f t="shared" si="11"/>
        <v>84.850000000000009</v>
      </c>
      <c r="X17" s="51">
        <f>MIN(100,MAX(0,MIN(100,MAX(0,E17*(1+'Company Assessment'!$D$51)))*(1-(MIN(100,MAX(0,G17*(1+'Company Assessment'!$D$52)))/100*MaxMitigation)))+MAX(0,(100-I17)*UncertaintyFactor))</f>
        <v>86.95</v>
      </c>
      <c r="Y17" s="108">
        <f>RANK(P17,$P$13:$P$36,0)+COUNTIF($P$13:P17,P17)-1</f>
        <v>1</v>
      </c>
      <c r="Z17" s="108"/>
      <c r="AA17" s="28"/>
    </row>
    <row r="18" spans="1:27" ht="28.8" customHeight="1">
      <c r="A18" s="6"/>
      <c r="B18" s="49" t="s">
        <v>225</v>
      </c>
      <c r="C18" s="49" t="s">
        <v>117</v>
      </c>
      <c r="D18" s="44" t="str">
        <f>'Company Assessment'!$C$19</f>
        <v>High</v>
      </c>
      <c r="E18" s="54">
        <f t="shared" si="0"/>
        <v>75</v>
      </c>
      <c r="F18" s="44" t="str">
        <f>'Company Assessment'!$D$19</f>
        <v>Moderate</v>
      </c>
      <c r="G18" s="54">
        <f t="shared" si="1"/>
        <v>50</v>
      </c>
      <c r="H18" s="44" t="str">
        <f>'Company Assessment'!$E$19</f>
        <v>Good</v>
      </c>
      <c r="I18" s="54">
        <f t="shared" si="2"/>
        <v>80</v>
      </c>
      <c r="J18" s="55">
        <v>0.12</v>
      </c>
      <c r="K18" s="54">
        <f>MIN(100,MAX(0,E18*(1+IF($C$5="Adverse Scenario",10%,IF($C$5="Custom Scenario",'Company Assessment'!$D$51,0)))))</f>
        <v>75</v>
      </c>
      <c r="L18" s="45">
        <f>MIN(100,MAX(0,G18*(1+IF($C$5="Adverse Scenario",-10%,IF($C$5="Improved Management Scenario",15%,IF($C$5="Custom Scenario",'Company Assessment'!$D$52,0))))))</f>
        <v>50</v>
      </c>
      <c r="M18" s="54">
        <f t="shared" si="3"/>
        <v>48.75</v>
      </c>
      <c r="N18" s="54">
        <f t="shared" si="4"/>
        <v>3</v>
      </c>
      <c r="O18" s="54">
        <f t="shared" si="5"/>
        <v>51.75</v>
      </c>
      <c r="P18" s="54">
        <f t="shared" si="6"/>
        <v>25</v>
      </c>
      <c r="Q18" s="54">
        <f t="shared" si="7"/>
        <v>6.21</v>
      </c>
      <c r="R18" s="56">
        <f>RANK(Q18,$Q$13:$Q$36,0)+COUNTIF($Q$13:Q18,Q18)-1</f>
        <v>10</v>
      </c>
      <c r="S18" s="51" t="str">
        <f t="shared" si="8"/>
        <v>Improve hazardous-material controls, waste reduction and independent assurance.</v>
      </c>
      <c r="T18" s="56">
        <v>6</v>
      </c>
      <c r="U18" s="51">
        <f t="shared" si="9"/>
        <v>51.75</v>
      </c>
      <c r="V18" s="51">
        <f t="shared" si="10"/>
        <v>59.512500000000003</v>
      </c>
      <c r="W18" s="51">
        <f t="shared" si="11"/>
        <v>47.8125</v>
      </c>
      <c r="X18" s="51">
        <f>MIN(100,MAX(0,MIN(100,MAX(0,E18*(1+'Company Assessment'!$D$51)))*(1-(MIN(100,MAX(0,G18*(1+'Company Assessment'!$D$52)))/100*MaxMitigation)))+MAX(0,(100-I18)*UncertaintyFactor))</f>
        <v>52.809375000000003</v>
      </c>
      <c r="Y18" s="108">
        <f>RANK(P18,$P$13:$P$36,0)+COUNTIF($P$13:P18,P18)-1</f>
        <v>8</v>
      </c>
      <c r="Z18" s="108"/>
      <c r="AA18" s="28"/>
    </row>
    <row r="19" spans="1:27" ht="28.8" customHeight="1">
      <c r="A19" s="6"/>
      <c r="B19" s="49" t="s">
        <v>225</v>
      </c>
      <c r="C19" s="49" t="s">
        <v>119</v>
      </c>
      <c r="D19" s="44" t="str">
        <f>'Company Assessment'!$C$20</f>
        <v>High</v>
      </c>
      <c r="E19" s="54">
        <f t="shared" si="0"/>
        <v>75</v>
      </c>
      <c r="F19" s="44" t="str">
        <f>'Company Assessment'!$D$20</f>
        <v>Weak</v>
      </c>
      <c r="G19" s="54">
        <f t="shared" si="1"/>
        <v>30</v>
      </c>
      <c r="H19" s="44" t="str">
        <f>'Company Assessment'!$E$20</f>
        <v>Limited</v>
      </c>
      <c r="I19" s="54">
        <f t="shared" si="2"/>
        <v>40</v>
      </c>
      <c r="J19" s="55">
        <v>0.1</v>
      </c>
      <c r="K19" s="54">
        <f>MIN(100,MAX(0,E19*(1+IF($C$5="Adverse Scenario",10%,IF($C$5="Custom Scenario",'Company Assessment'!$D$51,0)))))</f>
        <v>75</v>
      </c>
      <c r="L19" s="45">
        <f>MIN(100,MAX(0,G19*(1+IF($C$5="Adverse Scenario",-10%,IF($C$5="Improved Management Scenario",15%,IF($C$5="Custom Scenario",'Company Assessment'!$D$52,0))))))</f>
        <v>30</v>
      </c>
      <c r="M19" s="54">
        <f t="shared" si="3"/>
        <v>59.25</v>
      </c>
      <c r="N19" s="54">
        <f t="shared" si="4"/>
        <v>9</v>
      </c>
      <c r="O19" s="54">
        <f t="shared" si="5"/>
        <v>68.25</v>
      </c>
      <c r="P19" s="54">
        <f t="shared" si="6"/>
        <v>45</v>
      </c>
      <c r="Q19" s="54">
        <f t="shared" si="7"/>
        <v>6.8250000000000002</v>
      </c>
      <c r="R19" s="56">
        <f>RANK(Q19,$Q$13:$Q$36,0)+COUNTIF($Q$13:Q19,Q19)-1</f>
        <v>8</v>
      </c>
      <c r="S19" s="51" t="str">
        <f t="shared" si="8"/>
        <v>Adopt biodiversity baselines, avoidance plans and measurable restoration commitments.</v>
      </c>
      <c r="T19" s="56">
        <v>7</v>
      </c>
      <c r="U19" s="51">
        <f t="shared" si="9"/>
        <v>68.25</v>
      </c>
      <c r="V19" s="51">
        <f t="shared" si="10"/>
        <v>75.907499999999999</v>
      </c>
      <c r="W19" s="51">
        <f t="shared" si="11"/>
        <v>65.887500000000003</v>
      </c>
      <c r="X19" s="51">
        <f>MIN(100,MAX(0,MIN(100,MAX(0,E19*(1+'Company Assessment'!$D$51)))*(1-(MIN(100,MAX(0,G19*(1+'Company Assessment'!$D$52)))/100*MaxMitigation)))+MAX(0,(100-I19)*UncertaintyFactor))</f>
        <v>70.385625000000005</v>
      </c>
      <c r="Y19" s="108">
        <f>RANK(P19,$P$13:$P$36,0)+COUNTIF($P$13:P19,P19)-1</f>
        <v>5</v>
      </c>
      <c r="Z19" s="108"/>
      <c r="AA19" s="28"/>
    </row>
    <row r="20" spans="1:27" ht="28.8" customHeight="1">
      <c r="A20" s="6"/>
      <c r="B20" s="49" t="s">
        <v>225</v>
      </c>
      <c r="C20" s="49" t="s">
        <v>121</v>
      </c>
      <c r="D20" s="44" t="str">
        <f>'Company Assessment'!$C$21</f>
        <v>High</v>
      </c>
      <c r="E20" s="54">
        <f t="shared" si="0"/>
        <v>75</v>
      </c>
      <c r="F20" s="44" t="str">
        <f>'Company Assessment'!$D$21</f>
        <v>Moderate</v>
      </c>
      <c r="G20" s="54">
        <f t="shared" si="1"/>
        <v>50</v>
      </c>
      <c r="H20" s="44" t="str">
        <f>'Company Assessment'!$E$21</f>
        <v>Good</v>
      </c>
      <c r="I20" s="54">
        <f t="shared" si="2"/>
        <v>80</v>
      </c>
      <c r="J20" s="55">
        <v>0.11</v>
      </c>
      <c r="K20" s="54">
        <f>MIN(100,MAX(0,E20*(1+IF($C$5="Adverse Scenario",10%,IF($C$5="Custom Scenario",'Company Assessment'!$D$51,0)))))</f>
        <v>75</v>
      </c>
      <c r="L20" s="45">
        <f>MIN(100,MAX(0,G20*(1+IF($C$5="Adverse Scenario",-10%,IF($C$5="Improved Management Scenario",15%,IF($C$5="Custom Scenario",'Company Assessment'!$D$52,0))))))</f>
        <v>50</v>
      </c>
      <c r="M20" s="54">
        <f t="shared" si="3"/>
        <v>48.75</v>
      </c>
      <c r="N20" s="54">
        <f t="shared" si="4"/>
        <v>3</v>
      </c>
      <c r="O20" s="54">
        <f t="shared" si="5"/>
        <v>51.75</v>
      </c>
      <c r="P20" s="54">
        <f t="shared" si="6"/>
        <v>25</v>
      </c>
      <c r="Q20" s="54">
        <f t="shared" si="7"/>
        <v>5.6924999999999999</v>
      </c>
      <c r="R20" s="56">
        <f>RANK(Q20,$Q$13:$Q$36,0)+COUNTIF($Q$13:Q20,Q20)-1</f>
        <v>15</v>
      </c>
      <c r="S20" s="51" t="str">
        <f t="shared" si="8"/>
        <v>Tighten environmental compliance monitoring, incident prevention and remediation governance.</v>
      </c>
      <c r="T20" s="56">
        <v>8</v>
      </c>
      <c r="U20" s="51">
        <f t="shared" si="9"/>
        <v>51.75</v>
      </c>
      <c r="V20" s="51">
        <f t="shared" si="10"/>
        <v>59.512500000000003</v>
      </c>
      <c r="W20" s="51">
        <f t="shared" si="11"/>
        <v>47.8125</v>
      </c>
      <c r="X20" s="51">
        <f>MIN(100,MAX(0,MIN(100,MAX(0,E20*(1+'Company Assessment'!$D$51)))*(1-(MIN(100,MAX(0,G20*(1+'Company Assessment'!$D$52)))/100*MaxMitigation)))+MAX(0,(100-I20)*UncertaintyFactor))</f>
        <v>52.809375000000003</v>
      </c>
      <c r="Y20" s="108">
        <f>RANK(P20,$P$13:$P$36,0)+COUNTIF($P$13:P20,P20)-1</f>
        <v>9</v>
      </c>
      <c r="Z20" s="108"/>
      <c r="AA20" s="28"/>
    </row>
    <row r="21" spans="1:27" ht="28.8" customHeight="1">
      <c r="A21" s="6"/>
      <c r="B21" s="49" t="s">
        <v>226</v>
      </c>
      <c r="C21" s="49" t="s">
        <v>124</v>
      </c>
      <c r="D21" s="44" t="str">
        <f>'Company Assessment'!$C$24</f>
        <v>Very High</v>
      </c>
      <c r="E21" s="54">
        <f t="shared" si="0"/>
        <v>100</v>
      </c>
      <c r="F21" s="44" t="str">
        <f>'Company Assessment'!$D$24</f>
        <v>Moderate</v>
      </c>
      <c r="G21" s="54">
        <f t="shared" si="1"/>
        <v>50</v>
      </c>
      <c r="H21" s="44" t="str">
        <f>'Company Assessment'!$E$24</f>
        <v>Good</v>
      </c>
      <c r="I21" s="54">
        <f t="shared" si="2"/>
        <v>80</v>
      </c>
      <c r="J21" s="55">
        <v>0.18</v>
      </c>
      <c r="K21" s="54">
        <f>MIN(100,MAX(0,E21*(1+IF($C$5="Adverse Scenario",10%,IF($C$5="Custom Scenario",'Company Assessment'!$D$51,0)))))</f>
        <v>100</v>
      </c>
      <c r="L21" s="45">
        <f>MIN(100,MAX(0,G21*(1+IF($C$5="Adverse Scenario",-10%,IF($C$5="Improved Management Scenario",15%,IF($C$5="Custom Scenario",'Company Assessment'!$D$52,0))))))</f>
        <v>50</v>
      </c>
      <c r="M21" s="54">
        <f t="shared" si="3"/>
        <v>65</v>
      </c>
      <c r="N21" s="54">
        <f t="shared" si="4"/>
        <v>3</v>
      </c>
      <c r="O21" s="54">
        <f t="shared" si="5"/>
        <v>68</v>
      </c>
      <c r="P21" s="54">
        <f t="shared" si="6"/>
        <v>50</v>
      </c>
      <c r="Q21" s="54">
        <f t="shared" si="7"/>
        <v>12.24</v>
      </c>
      <c r="R21" s="56">
        <f>RANK(Q21,$Q$13:$Q$36,0)+COUNTIF($Q$13:Q21,Q21)-1</f>
        <v>2</v>
      </c>
      <c r="S21" s="51" t="str">
        <f t="shared" si="8"/>
        <v>Expand critical-risk controls, leading indicators and independent safety reviews.</v>
      </c>
      <c r="T21" s="56">
        <v>9</v>
      </c>
      <c r="U21" s="51">
        <f t="shared" si="9"/>
        <v>68</v>
      </c>
      <c r="V21" s="51">
        <f t="shared" si="10"/>
        <v>71.5</v>
      </c>
      <c r="W21" s="51">
        <f t="shared" si="11"/>
        <v>62.75</v>
      </c>
      <c r="X21" s="51">
        <f>MIN(100,MAX(0,MIN(100,MAX(0,E21*(1+'Company Assessment'!$D$51)))*(1-(MIN(100,MAX(0,G21*(1+'Company Assessment'!$D$52)))/100*MaxMitigation)))+MAX(0,(100-I21)*UncertaintyFactor))</f>
        <v>66.25</v>
      </c>
      <c r="Y21" s="108">
        <f>RANK(P21,$P$13:$P$36,0)+COUNTIF($P$13:P21,P21)-1</f>
        <v>3</v>
      </c>
      <c r="Z21" s="108"/>
      <c r="AA21" s="28"/>
    </row>
    <row r="22" spans="1:27" ht="28.8" customHeight="1">
      <c r="A22" s="6"/>
      <c r="B22" s="49" t="s">
        <v>226</v>
      </c>
      <c r="C22" s="49" t="s">
        <v>126</v>
      </c>
      <c r="D22" s="44" t="str">
        <f>'Company Assessment'!$C$25</f>
        <v>Moderate</v>
      </c>
      <c r="E22" s="54">
        <f t="shared" si="0"/>
        <v>50</v>
      </c>
      <c r="F22" s="44" t="str">
        <f>'Company Assessment'!$D$25</f>
        <v>Strong</v>
      </c>
      <c r="G22" s="54">
        <f t="shared" si="1"/>
        <v>75</v>
      </c>
      <c r="H22" s="44" t="str">
        <f>'Company Assessment'!$E$25</f>
        <v>Good</v>
      </c>
      <c r="I22" s="54">
        <f t="shared" si="2"/>
        <v>80</v>
      </c>
      <c r="J22" s="55">
        <v>0.12</v>
      </c>
      <c r="K22" s="54">
        <f>MIN(100,MAX(0,E22*(1+IF($C$5="Adverse Scenario",10%,IF($C$5="Custom Scenario",'Company Assessment'!$D$51,0)))))</f>
        <v>50</v>
      </c>
      <c r="L22" s="45">
        <f>MIN(100,MAX(0,G22*(1+IF($C$5="Adverse Scenario",-10%,IF($C$5="Improved Management Scenario",15%,IF($C$5="Custom Scenario",'Company Assessment'!$D$52,0))))))</f>
        <v>75</v>
      </c>
      <c r="M22" s="54">
        <f t="shared" si="3"/>
        <v>23.750000000000004</v>
      </c>
      <c r="N22" s="54">
        <f t="shared" si="4"/>
        <v>3</v>
      </c>
      <c r="O22" s="54">
        <f t="shared" si="5"/>
        <v>26.750000000000004</v>
      </c>
      <c r="P22" s="54">
        <f t="shared" si="6"/>
        <v>-25</v>
      </c>
      <c r="Q22" s="54">
        <f t="shared" si="7"/>
        <v>3.2100000000000004</v>
      </c>
      <c r="R22" s="56">
        <f>RANK(Q22,$Q$13:$Q$36,0)+COUNTIF($Q$13:Q22,Q22)-1</f>
        <v>22</v>
      </c>
      <c r="S22" s="51" t="str">
        <f t="shared" si="8"/>
        <v>Strengthen labour engagement, grievance management and workforce consultation.</v>
      </c>
      <c r="T22" s="56">
        <v>10</v>
      </c>
      <c r="U22" s="51">
        <f t="shared" si="9"/>
        <v>26.750000000000004</v>
      </c>
      <c r="V22" s="51">
        <f t="shared" si="10"/>
        <v>32.012500000000003</v>
      </c>
      <c r="W22" s="51">
        <f t="shared" si="11"/>
        <v>22.8125</v>
      </c>
      <c r="X22" s="51">
        <f>MIN(100,MAX(0,MIN(100,MAX(0,E22*(1+'Company Assessment'!$D$51)))*(1-(MIN(100,MAX(0,G22*(1+'Company Assessment'!$D$52)))/100*MaxMitigation)))+MAX(0,(100-I22)*UncertaintyFactor))</f>
        <v>26.559375000000006</v>
      </c>
      <c r="Y22" s="108">
        <f>RANK(P22,$P$13:$P$36,0)+COUNTIF($P$13:P22,P22)-1</f>
        <v>22</v>
      </c>
      <c r="Z22" s="108"/>
      <c r="AA22" s="28"/>
    </row>
    <row r="23" spans="1:27" ht="28.8" customHeight="1">
      <c r="A23" s="6"/>
      <c r="B23" s="49" t="s">
        <v>226</v>
      </c>
      <c r="C23" s="49" t="s">
        <v>128</v>
      </c>
      <c r="D23" s="44" t="str">
        <f>'Company Assessment'!$C$26</f>
        <v>Moderate</v>
      </c>
      <c r="E23" s="54">
        <f t="shared" si="0"/>
        <v>50</v>
      </c>
      <c r="F23" s="44" t="str">
        <f>'Company Assessment'!$D$26</f>
        <v>Moderate</v>
      </c>
      <c r="G23" s="54">
        <f t="shared" si="1"/>
        <v>50</v>
      </c>
      <c r="H23" s="44" t="str">
        <f>'Company Assessment'!$E$26</f>
        <v>Moderate</v>
      </c>
      <c r="I23" s="54">
        <f t="shared" si="2"/>
        <v>60</v>
      </c>
      <c r="J23" s="55">
        <v>0.1</v>
      </c>
      <c r="K23" s="54">
        <f>MIN(100,MAX(0,E23*(1+IF($C$5="Adverse Scenario",10%,IF($C$5="Custom Scenario",'Company Assessment'!$D$51,0)))))</f>
        <v>50</v>
      </c>
      <c r="L23" s="45">
        <f>MIN(100,MAX(0,G23*(1+IF($C$5="Adverse Scenario",-10%,IF($C$5="Improved Management Scenario",15%,IF($C$5="Custom Scenario",'Company Assessment'!$D$52,0))))))</f>
        <v>50</v>
      </c>
      <c r="M23" s="54">
        <f t="shared" si="3"/>
        <v>32.5</v>
      </c>
      <c r="N23" s="54">
        <f t="shared" si="4"/>
        <v>6</v>
      </c>
      <c r="O23" s="54">
        <f t="shared" si="5"/>
        <v>38.5</v>
      </c>
      <c r="P23" s="54">
        <f t="shared" si="6"/>
        <v>0</v>
      </c>
      <c r="Q23" s="54">
        <f t="shared" si="7"/>
        <v>3.85</v>
      </c>
      <c r="R23" s="56">
        <f>RANK(Q23,$Q$13:$Q$36,0)+COUNTIF($Q$13:Q23,Q23)-1</f>
        <v>19</v>
      </c>
      <c r="S23" s="51" t="str">
        <f t="shared" si="8"/>
        <v>Develop retention plans for critical roles and improve workforce analytics.</v>
      </c>
      <c r="T23" s="56">
        <v>11</v>
      </c>
      <c r="U23" s="51">
        <f t="shared" si="9"/>
        <v>38.5</v>
      </c>
      <c r="V23" s="51">
        <f t="shared" si="10"/>
        <v>43.675000000000004</v>
      </c>
      <c r="W23" s="51">
        <f t="shared" si="11"/>
        <v>35.875</v>
      </c>
      <c r="X23" s="51">
        <f>MIN(100,MAX(0,MIN(100,MAX(0,E23*(1+'Company Assessment'!$D$51)))*(1-(MIN(100,MAX(0,G23*(1+'Company Assessment'!$D$52)))/100*MaxMitigation)))+MAX(0,(100-I23)*UncertaintyFactor))</f>
        <v>39.206250000000004</v>
      </c>
      <c r="Y23" s="108">
        <f>RANK(P23,$P$13:$P$36,0)+COUNTIF($P$13:P23,P23)-1</f>
        <v>15</v>
      </c>
      <c r="Z23" s="108"/>
      <c r="AA23" s="28"/>
    </row>
    <row r="24" spans="1:27" ht="28.8" customHeight="1">
      <c r="A24" s="6"/>
      <c r="B24" s="49" t="s">
        <v>226</v>
      </c>
      <c r="C24" s="49" t="s">
        <v>130</v>
      </c>
      <c r="D24" s="44" t="str">
        <f>'Company Assessment'!$C$27</f>
        <v>Moderate</v>
      </c>
      <c r="E24" s="54">
        <f t="shared" si="0"/>
        <v>50</v>
      </c>
      <c r="F24" s="44" t="str">
        <f>'Company Assessment'!$D$27</f>
        <v>Moderate</v>
      </c>
      <c r="G24" s="54">
        <f t="shared" si="1"/>
        <v>50</v>
      </c>
      <c r="H24" s="44" t="str">
        <f>'Company Assessment'!$E$27</f>
        <v>Moderate</v>
      </c>
      <c r="I24" s="54">
        <f t="shared" si="2"/>
        <v>60</v>
      </c>
      <c r="J24" s="55">
        <v>0.1</v>
      </c>
      <c r="K24" s="54">
        <f>MIN(100,MAX(0,E24*(1+IF($C$5="Adverse Scenario",10%,IF($C$5="Custom Scenario",'Company Assessment'!$D$51,0)))))</f>
        <v>50</v>
      </c>
      <c r="L24" s="45">
        <f>MIN(100,MAX(0,G24*(1+IF($C$5="Adverse Scenario",-10%,IF($C$5="Improved Management Scenario",15%,IF($C$5="Custom Scenario",'Company Assessment'!$D$52,0))))))</f>
        <v>50</v>
      </c>
      <c r="M24" s="54">
        <f t="shared" si="3"/>
        <v>32.5</v>
      </c>
      <c r="N24" s="54">
        <f t="shared" si="4"/>
        <v>6</v>
      </c>
      <c r="O24" s="54">
        <f t="shared" si="5"/>
        <v>38.5</v>
      </c>
      <c r="P24" s="54">
        <f t="shared" si="6"/>
        <v>0</v>
      </c>
      <c r="Q24" s="54">
        <f t="shared" si="7"/>
        <v>3.85</v>
      </c>
      <c r="R24" s="56">
        <f>RANK(Q24,$Q$13:$Q$36,0)+COUNTIF($Q$13:Q24,Q24)-1</f>
        <v>20</v>
      </c>
      <c r="S24" s="51" t="str">
        <f t="shared" si="8"/>
        <v>Set measurable inclusion goals and strengthen pay-equity and promotion reviews.</v>
      </c>
      <c r="T24" s="56">
        <v>12</v>
      </c>
      <c r="U24" s="51">
        <f t="shared" si="9"/>
        <v>38.5</v>
      </c>
      <c r="V24" s="51">
        <f t="shared" si="10"/>
        <v>43.675000000000004</v>
      </c>
      <c r="W24" s="51">
        <f t="shared" si="11"/>
        <v>35.875</v>
      </c>
      <c r="X24" s="51">
        <f>MIN(100,MAX(0,MIN(100,MAX(0,E24*(1+'Company Assessment'!$D$51)))*(1-(MIN(100,MAX(0,G24*(1+'Company Assessment'!$D$52)))/100*MaxMitigation)))+MAX(0,(100-I24)*UncertaintyFactor))</f>
        <v>39.206250000000004</v>
      </c>
      <c r="Y24" s="108">
        <f>RANK(P24,$P$13:$P$36,0)+COUNTIF($P$13:P24,P24)-1</f>
        <v>16</v>
      </c>
      <c r="Z24" s="108"/>
      <c r="AA24" s="28"/>
    </row>
    <row r="25" spans="1:27" ht="28.8" customHeight="1">
      <c r="A25" s="6"/>
      <c r="B25" s="49" t="s">
        <v>226</v>
      </c>
      <c r="C25" s="49" t="s">
        <v>132</v>
      </c>
      <c r="D25" s="44" t="str">
        <f>'Company Assessment'!$C$28</f>
        <v>High</v>
      </c>
      <c r="E25" s="54">
        <f t="shared" si="0"/>
        <v>75</v>
      </c>
      <c r="F25" s="44" t="str">
        <f>'Company Assessment'!$D$28</f>
        <v>Moderate</v>
      </c>
      <c r="G25" s="54">
        <f t="shared" si="1"/>
        <v>50</v>
      </c>
      <c r="H25" s="44" t="str">
        <f>'Company Assessment'!$E$28</f>
        <v>Limited</v>
      </c>
      <c r="I25" s="54">
        <f t="shared" si="2"/>
        <v>40</v>
      </c>
      <c r="J25" s="55">
        <v>0.14000000000000001</v>
      </c>
      <c r="K25" s="54">
        <f>MIN(100,MAX(0,E25*(1+IF($C$5="Adverse Scenario",10%,IF($C$5="Custom Scenario",'Company Assessment'!$D$51,0)))))</f>
        <v>75</v>
      </c>
      <c r="L25" s="45">
        <f>MIN(100,MAX(0,G25*(1+IF($C$5="Adverse Scenario",-10%,IF($C$5="Improved Management Scenario",15%,IF($C$5="Custom Scenario",'Company Assessment'!$D$52,0))))))</f>
        <v>50</v>
      </c>
      <c r="M25" s="54">
        <f t="shared" si="3"/>
        <v>48.75</v>
      </c>
      <c r="N25" s="54">
        <f t="shared" si="4"/>
        <v>9</v>
      </c>
      <c r="O25" s="54">
        <f t="shared" si="5"/>
        <v>57.75</v>
      </c>
      <c r="P25" s="54">
        <f t="shared" si="6"/>
        <v>25</v>
      </c>
      <c r="Q25" s="54">
        <f t="shared" si="7"/>
        <v>8.0850000000000009</v>
      </c>
      <c r="R25" s="56">
        <f>RANK(Q25,$Q$13:$Q$36,0)+COUNTIF($Q$13:Q25,Q25)-1</f>
        <v>7</v>
      </c>
      <c r="S25" s="51" t="str">
        <f t="shared" si="8"/>
        <v>Conduct human-rights due diligence and establish effective remediation channels.</v>
      </c>
      <c r="T25" s="56">
        <v>13</v>
      </c>
      <c r="U25" s="51">
        <f t="shared" si="9"/>
        <v>57.75</v>
      </c>
      <c r="V25" s="51">
        <f t="shared" si="10"/>
        <v>65.512500000000003</v>
      </c>
      <c r="W25" s="51">
        <f t="shared" si="11"/>
        <v>53.8125</v>
      </c>
      <c r="X25" s="51">
        <f>MIN(100,MAX(0,MIN(100,MAX(0,E25*(1+'Company Assessment'!$D$51)))*(1-(MIN(100,MAX(0,G25*(1+'Company Assessment'!$D$52)))/100*MaxMitigation)))+MAX(0,(100-I25)*UncertaintyFactor))</f>
        <v>58.809375000000003</v>
      </c>
      <c r="Y25" s="108">
        <f>RANK(P25,$P$13:$P$36,0)+COUNTIF($P$13:P25,P25)-1</f>
        <v>10</v>
      </c>
      <c r="Z25" s="108"/>
      <c r="AA25" s="28"/>
    </row>
    <row r="26" spans="1:27" ht="28.8" customHeight="1">
      <c r="A26" s="6"/>
      <c r="B26" s="49" t="s">
        <v>226</v>
      </c>
      <c r="C26" s="49" t="s">
        <v>134</v>
      </c>
      <c r="D26" s="44" t="str">
        <f>'Company Assessment'!$C$29</f>
        <v>High</v>
      </c>
      <c r="E26" s="54">
        <f t="shared" si="0"/>
        <v>75</v>
      </c>
      <c r="F26" s="44" t="str">
        <f>'Company Assessment'!$D$29</f>
        <v>Weak</v>
      </c>
      <c r="G26" s="54">
        <f t="shared" si="1"/>
        <v>30</v>
      </c>
      <c r="H26" s="44" t="str">
        <f>'Company Assessment'!$E$29</f>
        <v>Poor</v>
      </c>
      <c r="I26" s="54">
        <f t="shared" si="2"/>
        <v>20</v>
      </c>
      <c r="J26" s="55">
        <v>0.14000000000000001</v>
      </c>
      <c r="K26" s="54">
        <f>MIN(100,MAX(0,E26*(1+IF($C$5="Adverse Scenario",10%,IF($C$5="Custom Scenario",'Company Assessment'!$D$51,0)))))</f>
        <v>75</v>
      </c>
      <c r="L26" s="45">
        <f>MIN(100,MAX(0,G26*(1+IF($C$5="Adverse Scenario",-10%,IF($C$5="Improved Management Scenario",15%,IF($C$5="Custom Scenario",'Company Assessment'!$D$52,0))))))</f>
        <v>30</v>
      </c>
      <c r="M26" s="54">
        <f t="shared" si="3"/>
        <v>59.25</v>
      </c>
      <c r="N26" s="54">
        <f t="shared" si="4"/>
        <v>12</v>
      </c>
      <c r="O26" s="54">
        <f t="shared" si="5"/>
        <v>71.25</v>
      </c>
      <c r="P26" s="54">
        <f t="shared" si="6"/>
        <v>45</v>
      </c>
      <c r="Q26" s="54">
        <f t="shared" si="7"/>
        <v>9.9750000000000014</v>
      </c>
      <c r="R26" s="56">
        <f>RANK(Q26,$Q$13:$Q$36,0)+COUNTIF($Q$13:Q26,Q26)-1</f>
        <v>4</v>
      </c>
      <c r="S26" s="51" t="str">
        <f t="shared" si="8"/>
        <v>Expand supplier due diligence, risk-based audits and corrective-action tracking.</v>
      </c>
      <c r="T26" s="56">
        <v>14</v>
      </c>
      <c r="U26" s="51">
        <f t="shared" si="9"/>
        <v>71.25</v>
      </c>
      <c r="V26" s="51">
        <f t="shared" si="10"/>
        <v>78.907499999999999</v>
      </c>
      <c r="W26" s="51">
        <f t="shared" si="11"/>
        <v>68.887500000000003</v>
      </c>
      <c r="X26" s="51">
        <f>MIN(100,MAX(0,MIN(100,MAX(0,E26*(1+'Company Assessment'!$D$51)))*(1-(MIN(100,MAX(0,G26*(1+'Company Assessment'!$D$52)))/100*MaxMitigation)))+MAX(0,(100-I26)*UncertaintyFactor))</f>
        <v>73.385625000000005</v>
      </c>
      <c r="Y26" s="108">
        <f>RANK(P26,$P$13:$P$36,0)+COUNTIF($P$13:P26,P26)-1</f>
        <v>6</v>
      </c>
      <c r="Z26" s="108"/>
      <c r="AA26" s="28"/>
    </row>
    <row r="27" spans="1:27" ht="28.8" customHeight="1">
      <c r="A27" s="6"/>
      <c r="B27" s="49" t="s">
        <v>226</v>
      </c>
      <c r="C27" s="49" t="s">
        <v>137</v>
      </c>
      <c r="D27" s="44" t="str">
        <f>'Company Assessment'!$C$30</f>
        <v>Very High</v>
      </c>
      <c r="E27" s="54">
        <f t="shared" si="0"/>
        <v>100</v>
      </c>
      <c r="F27" s="44" t="str">
        <f>'Company Assessment'!$D$30</f>
        <v>Moderate</v>
      </c>
      <c r="G27" s="54">
        <f t="shared" si="1"/>
        <v>50</v>
      </c>
      <c r="H27" s="44" t="str">
        <f>'Company Assessment'!$E$30</f>
        <v>Moderate</v>
      </c>
      <c r="I27" s="54">
        <f t="shared" si="2"/>
        <v>60</v>
      </c>
      <c r="J27" s="55">
        <v>0.12</v>
      </c>
      <c r="K27" s="54">
        <f>MIN(100,MAX(0,E27*(1+IF($C$5="Adverse Scenario",10%,IF($C$5="Custom Scenario",'Company Assessment'!$D$51,0)))))</f>
        <v>100</v>
      </c>
      <c r="L27" s="45">
        <f>MIN(100,MAX(0,G27*(1+IF($C$5="Adverse Scenario",-10%,IF($C$5="Improved Management Scenario",15%,IF($C$5="Custom Scenario",'Company Assessment'!$D$52,0))))))</f>
        <v>50</v>
      </c>
      <c r="M27" s="54">
        <f t="shared" si="3"/>
        <v>65</v>
      </c>
      <c r="N27" s="54">
        <f t="shared" si="4"/>
        <v>6</v>
      </c>
      <c r="O27" s="54">
        <f t="shared" si="5"/>
        <v>71</v>
      </c>
      <c r="P27" s="54">
        <f t="shared" si="6"/>
        <v>50</v>
      </c>
      <c r="Q27" s="54">
        <f t="shared" si="7"/>
        <v>8.52</v>
      </c>
      <c r="R27" s="56">
        <f>RANK(Q27,$Q$13:$Q$36,0)+COUNTIF($Q$13:Q27,Q27)-1</f>
        <v>5</v>
      </c>
      <c r="S27" s="51" t="str">
        <f t="shared" si="8"/>
        <v>Strengthen early engagement, impact agreements and grievance resolution.</v>
      </c>
      <c r="T27" s="56">
        <v>15</v>
      </c>
      <c r="U27" s="51">
        <f t="shared" si="9"/>
        <v>71</v>
      </c>
      <c r="V27" s="51">
        <f t="shared" si="10"/>
        <v>74.5</v>
      </c>
      <c r="W27" s="51">
        <f t="shared" si="11"/>
        <v>65.75</v>
      </c>
      <c r="X27" s="51">
        <f>MIN(100,MAX(0,MIN(100,MAX(0,E27*(1+'Company Assessment'!$D$51)))*(1-(MIN(100,MAX(0,G27*(1+'Company Assessment'!$D$52)))/100*MaxMitigation)))+MAX(0,(100-I27)*UncertaintyFactor))</f>
        <v>69.25</v>
      </c>
      <c r="Y27" s="108">
        <f>RANK(P27,$P$13:$P$36,0)+COUNTIF($P$13:P27,P27)-1</f>
        <v>4</v>
      </c>
      <c r="Z27" s="108"/>
      <c r="AA27" s="28"/>
    </row>
    <row r="28" spans="1:27" ht="28.8" customHeight="1">
      <c r="A28" s="6"/>
      <c r="B28" s="49" t="s">
        <v>226</v>
      </c>
      <c r="C28" s="49" t="s">
        <v>139</v>
      </c>
      <c r="D28" s="44" t="str">
        <f>'Company Assessment'!$C$31</f>
        <v>Low</v>
      </c>
      <c r="E28" s="54">
        <f t="shared" si="0"/>
        <v>30</v>
      </c>
      <c r="F28" s="44" t="str">
        <f>'Company Assessment'!$D$31</f>
        <v>Strong</v>
      </c>
      <c r="G28" s="54">
        <f t="shared" si="1"/>
        <v>75</v>
      </c>
      <c r="H28" s="44" t="str">
        <f>'Company Assessment'!$E$31</f>
        <v>Good</v>
      </c>
      <c r="I28" s="54">
        <f t="shared" si="2"/>
        <v>80</v>
      </c>
      <c r="J28" s="55">
        <v>0.1</v>
      </c>
      <c r="K28" s="54">
        <f>MIN(100,MAX(0,E28*(1+IF($C$5="Adverse Scenario",10%,IF($C$5="Custom Scenario",'Company Assessment'!$D$51,0)))))</f>
        <v>30</v>
      </c>
      <c r="L28" s="45">
        <f>MIN(100,MAX(0,G28*(1+IF($C$5="Adverse Scenario",-10%,IF($C$5="Improved Management Scenario",15%,IF($C$5="Custom Scenario",'Company Assessment'!$D$52,0))))))</f>
        <v>75</v>
      </c>
      <c r="M28" s="54">
        <f t="shared" si="3"/>
        <v>14.250000000000004</v>
      </c>
      <c r="N28" s="54">
        <f t="shared" si="4"/>
        <v>3</v>
      </c>
      <c r="O28" s="54">
        <f t="shared" si="5"/>
        <v>17.250000000000004</v>
      </c>
      <c r="P28" s="54">
        <f t="shared" si="6"/>
        <v>-45</v>
      </c>
      <c r="Q28" s="54">
        <f t="shared" si="7"/>
        <v>1.7250000000000005</v>
      </c>
      <c r="R28" s="56">
        <f>RANK(Q28,$Q$13:$Q$36,0)+COUNTIF($Q$13:Q28,Q28)-1</f>
        <v>24</v>
      </c>
      <c r="S28" s="51" t="str">
        <f t="shared" si="8"/>
        <v>Improve product governance, customer safeguards and incident escalation.</v>
      </c>
      <c r="T28" s="56">
        <v>16</v>
      </c>
      <c r="U28" s="51">
        <f t="shared" si="9"/>
        <v>17.250000000000004</v>
      </c>
      <c r="V28" s="51">
        <f t="shared" si="10"/>
        <v>20.407500000000002</v>
      </c>
      <c r="W28" s="51">
        <f t="shared" si="11"/>
        <v>14.887499999999999</v>
      </c>
      <c r="X28" s="51">
        <f>MIN(100,MAX(0,MIN(100,MAX(0,E28*(1+'Company Assessment'!$D$51)))*(1-(MIN(100,MAX(0,G28*(1+'Company Assessment'!$D$52)))/100*MaxMitigation)))+MAX(0,(100-I28)*UncertaintyFactor))</f>
        <v>17.135625000000005</v>
      </c>
      <c r="Y28" s="108">
        <f>RANK(P28,$P$13:$P$36,0)+COUNTIF($P$13:P28,P28)-1</f>
        <v>24</v>
      </c>
      <c r="Z28" s="108"/>
      <c r="AA28" s="28"/>
    </row>
    <row r="29" spans="1:27" ht="28.8" customHeight="1">
      <c r="A29" s="6"/>
      <c r="B29" s="49" t="s">
        <v>227</v>
      </c>
      <c r="C29" s="49" t="s">
        <v>143</v>
      </c>
      <c r="D29" s="44" t="str">
        <f>'Company Assessment'!$C$34</f>
        <v>Moderate</v>
      </c>
      <c r="E29" s="54">
        <f t="shared" si="0"/>
        <v>50</v>
      </c>
      <c r="F29" s="44" t="str">
        <f>'Company Assessment'!$D$34</f>
        <v>Strong</v>
      </c>
      <c r="G29" s="54">
        <f t="shared" si="1"/>
        <v>75</v>
      </c>
      <c r="H29" s="44" t="str">
        <f>'Company Assessment'!$E$34</f>
        <v>Good</v>
      </c>
      <c r="I29" s="54">
        <f t="shared" si="2"/>
        <v>80</v>
      </c>
      <c r="J29" s="55">
        <v>0.15</v>
      </c>
      <c r="K29" s="54">
        <f>MIN(100,MAX(0,E29*(1+IF($C$5="Adverse Scenario",10%,IF($C$5="Custom Scenario",'Company Assessment'!$D$51,0)))))</f>
        <v>50</v>
      </c>
      <c r="L29" s="45">
        <f>MIN(100,MAX(0,G29*(1+IF($C$5="Adverse Scenario",-10%,IF($C$5="Improved Management Scenario",15%,IF($C$5="Custom Scenario",'Company Assessment'!$D$52,0))))))</f>
        <v>75</v>
      </c>
      <c r="M29" s="54">
        <f t="shared" si="3"/>
        <v>23.750000000000004</v>
      </c>
      <c r="N29" s="54">
        <f t="shared" si="4"/>
        <v>3</v>
      </c>
      <c r="O29" s="54">
        <f t="shared" si="5"/>
        <v>26.750000000000004</v>
      </c>
      <c r="P29" s="54">
        <f t="shared" si="6"/>
        <v>-25</v>
      </c>
      <c r="Q29" s="54">
        <f t="shared" si="7"/>
        <v>4.0125000000000002</v>
      </c>
      <c r="R29" s="56">
        <f>RANK(Q29,$Q$13:$Q$36,0)+COUNTIF($Q$13:Q29,Q29)-1</f>
        <v>17</v>
      </c>
      <c r="S29" s="51" t="str">
        <f t="shared" si="8"/>
        <v>Clarify board accountability and strengthen ESG expertise and oversight cadence.</v>
      </c>
      <c r="T29" s="56">
        <v>17</v>
      </c>
      <c r="U29" s="51">
        <f t="shared" si="9"/>
        <v>26.750000000000004</v>
      </c>
      <c r="V29" s="51">
        <f t="shared" si="10"/>
        <v>32.012500000000003</v>
      </c>
      <c r="W29" s="51">
        <f t="shared" si="11"/>
        <v>22.8125</v>
      </c>
      <c r="X29" s="51">
        <f>MIN(100,MAX(0,MIN(100,MAX(0,E29*(1+'Company Assessment'!$D$51)))*(1-(MIN(100,MAX(0,G29*(1+'Company Assessment'!$D$52)))/100*MaxMitigation)))+MAX(0,(100-I29)*UncertaintyFactor))</f>
        <v>26.559375000000006</v>
      </c>
      <c r="Y29" s="108">
        <f>RANK(P29,$P$13:$P$36,0)+COUNTIF($P$13:P29,P29)-1</f>
        <v>23</v>
      </c>
      <c r="Z29" s="108"/>
      <c r="AA29" s="28"/>
    </row>
    <row r="30" spans="1:27" ht="28.8" customHeight="1">
      <c r="A30" s="6"/>
      <c r="B30" s="49" t="s">
        <v>227</v>
      </c>
      <c r="C30" s="49" t="s">
        <v>145</v>
      </c>
      <c r="D30" s="44" t="str">
        <f>'Company Assessment'!$C$35</f>
        <v>Moderate</v>
      </c>
      <c r="E30" s="54">
        <f t="shared" si="0"/>
        <v>50</v>
      </c>
      <c r="F30" s="44" t="str">
        <f>'Company Assessment'!$D$35</f>
        <v>Moderate</v>
      </c>
      <c r="G30" s="54">
        <f t="shared" si="1"/>
        <v>50</v>
      </c>
      <c r="H30" s="44" t="str">
        <f>'Company Assessment'!$E$35</f>
        <v>Moderate</v>
      </c>
      <c r="I30" s="54">
        <f t="shared" si="2"/>
        <v>60</v>
      </c>
      <c r="J30" s="55">
        <v>0.08</v>
      </c>
      <c r="K30" s="54">
        <f>MIN(100,MAX(0,E30*(1+IF($C$5="Adverse Scenario",10%,IF($C$5="Custom Scenario",'Company Assessment'!$D$51,0)))))</f>
        <v>50</v>
      </c>
      <c r="L30" s="45">
        <f>MIN(100,MAX(0,G30*(1+IF($C$5="Adverse Scenario",-10%,IF($C$5="Improved Management Scenario",15%,IF($C$5="Custom Scenario",'Company Assessment'!$D$52,0))))))</f>
        <v>50</v>
      </c>
      <c r="M30" s="54">
        <f t="shared" si="3"/>
        <v>32.5</v>
      </c>
      <c r="N30" s="54">
        <f t="shared" si="4"/>
        <v>6</v>
      </c>
      <c r="O30" s="54">
        <f t="shared" si="5"/>
        <v>38.5</v>
      </c>
      <c r="P30" s="54">
        <f t="shared" si="6"/>
        <v>0</v>
      </c>
      <c r="Q30" s="54">
        <f t="shared" si="7"/>
        <v>3.08</v>
      </c>
      <c r="R30" s="56">
        <f>RANK(Q30,$Q$13:$Q$36,0)+COUNTIF($Q$13:Q30,Q30)-1</f>
        <v>23</v>
      </c>
      <c r="S30" s="51" t="str">
        <f t="shared" si="8"/>
        <v>Link executive incentives to measurable, auditable ESG performance indicators.</v>
      </c>
      <c r="T30" s="56">
        <v>18</v>
      </c>
      <c r="U30" s="51">
        <f t="shared" si="9"/>
        <v>38.5</v>
      </c>
      <c r="V30" s="51">
        <f t="shared" si="10"/>
        <v>43.675000000000004</v>
      </c>
      <c r="W30" s="51">
        <f t="shared" si="11"/>
        <v>35.875</v>
      </c>
      <c r="X30" s="51">
        <f>MIN(100,MAX(0,MIN(100,MAX(0,E30*(1+'Company Assessment'!$D$51)))*(1-(MIN(100,MAX(0,G30*(1+'Company Assessment'!$D$52)))/100*MaxMitigation)))+MAX(0,(100-I30)*UncertaintyFactor))</f>
        <v>39.206250000000004</v>
      </c>
      <c r="Y30" s="108">
        <f>RANK(P30,$P$13:$P$36,0)+COUNTIF($P$13:P30,P30)-1</f>
        <v>17</v>
      </c>
      <c r="Z30" s="108"/>
      <c r="AA30" s="28"/>
    </row>
    <row r="31" spans="1:27" ht="28.8" customHeight="1">
      <c r="A31" s="6"/>
      <c r="B31" s="49" t="s">
        <v>227</v>
      </c>
      <c r="C31" s="49" t="s">
        <v>147</v>
      </c>
      <c r="D31" s="44" t="str">
        <f>'Company Assessment'!$C$36</f>
        <v>High</v>
      </c>
      <c r="E31" s="54">
        <f t="shared" si="0"/>
        <v>75</v>
      </c>
      <c r="F31" s="44" t="str">
        <f>'Company Assessment'!$D$36</f>
        <v>Strong</v>
      </c>
      <c r="G31" s="54">
        <f t="shared" si="1"/>
        <v>75</v>
      </c>
      <c r="H31" s="44" t="str">
        <f>'Company Assessment'!$E$36</f>
        <v>Good</v>
      </c>
      <c r="I31" s="54">
        <f t="shared" si="2"/>
        <v>80</v>
      </c>
      <c r="J31" s="55">
        <v>0.15</v>
      </c>
      <c r="K31" s="54">
        <f>MIN(100,MAX(0,E31*(1+IF($C$5="Adverse Scenario",10%,IF($C$5="Custom Scenario",'Company Assessment'!$D$51,0)))))</f>
        <v>75</v>
      </c>
      <c r="L31" s="45">
        <f>MIN(100,MAX(0,G31*(1+IF($C$5="Adverse Scenario",-10%,IF($C$5="Improved Management Scenario",15%,IF($C$5="Custom Scenario",'Company Assessment'!$D$52,0))))))</f>
        <v>75</v>
      </c>
      <c r="M31" s="54">
        <f t="shared" si="3"/>
        <v>35.625000000000007</v>
      </c>
      <c r="N31" s="54">
        <f t="shared" si="4"/>
        <v>3</v>
      </c>
      <c r="O31" s="54">
        <f t="shared" si="5"/>
        <v>38.625000000000007</v>
      </c>
      <c r="P31" s="54">
        <f t="shared" si="6"/>
        <v>0</v>
      </c>
      <c r="Q31" s="54">
        <f t="shared" si="7"/>
        <v>5.7937500000000011</v>
      </c>
      <c r="R31" s="56">
        <f>RANK(Q31,$Q$13:$Q$36,0)+COUNTIF($Q$13:Q31,Q31)-1</f>
        <v>12</v>
      </c>
      <c r="S31" s="51" t="str">
        <f t="shared" si="8"/>
        <v>Enhance anti-corruption controls, third-party screening and speak-up protections.</v>
      </c>
      <c r="T31" s="56">
        <v>19</v>
      </c>
      <c r="U31" s="51">
        <f t="shared" si="9"/>
        <v>38.625000000000007</v>
      </c>
      <c r="V31" s="51">
        <f t="shared" si="10"/>
        <v>46.518750000000004</v>
      </c>
      <c r="W31" s="51">
        <f t="shared" si="11"/>
        <v>32.71875</v>
      </c>
      <c r="X31" s="51">
        <f>MIN(100,MAX(0,MIN(100,MAX(0,E31*(1+'Company Assessment'!$D$51)))*(1-(MIN(100,MAX(0,G31*(1+'Company Assessment'!$D$52)))/100*MaxMitigation)))+MAX(0,(100-I31)*UncertaintyFactor))</f>
        <v>38.339062500000004</v>
      </c>
      <c r="Y31" s="108">
        <f>RANK(P31,$P$13:$P$36,0)+COUNTIF($P$13:P31,P31)-1</f>
        <v>18</v>
      </c>
      <c r="Z31" s="108"/>
      <c r="AA31" s="28"/>
    </row>
    <row r="32" spans="1:27" ht="28.8" customHeight="1">
      <c r="A32" s="6"/>
      <c r="B32" s="49" t="s">
        <v>227</v>
      </c>
      <c r="C32" s="49" t="s">
        <v>149</v>
      </c>
      <c r="D32" s="44" t="str">
        <f>'Company Assessment'!$C$37</f>
        <v>High</v>
      </c>
      <c r="E32" s="54">
        <f t="shared" si="0"/>
        <v>75</v>
      </c>
      <c r="F32" s="44" t="str">
        <f>'Company Assessment'!$D$37</f>
        <v>Moderate</v>
      </c>
      <c r="G32" s="54">
        <f t="shared" si="1"/>
        <v>50</v>
      </c>
      <c r="H32" s="44" t="str">
        <f>'Company Assessment'!$E$37</f>
        <v>Good</v>
      </c>
      <c r="I32" s="54">
        <f t="shared" si="2"/>
        <v>80</v>
      </c>
      <c r="J32" s="55">
        <v>0.12</v>
      </c>
      <c r="K32" s="54">
        <f>MIN(100,MAX(0,E32*(1+IF($C$5="Adverse Scenario",10%,IF($C$5="Custom Scenario",'Company Assessment'!$D$51,0)))))</f>
        <v>75</v>
      </c>
      <c r="L32" s="45">
        <f>MIN(100,MAX(0,G32*(1+IF($C$5="Adverse Scenario",-10%,IF($C$5="Improved Management Scenario",15%,IF($C$5="Custom Scenario",'Company Assessment'!$D$52,0))))))</f>
        <v>50</v>
      </c>
      <c r="M32" s="54">
        <f t="shared" si="3"/>
        <v>48.75</v>
      </c>
      <c r="N32" s="54">
        <f t="shared" si="4"/>
        <v>3</v>
      </c>
      <c r="O32" s="54">
        <f t="shared" si="5"/>
        <v>51.75</v>
      </c>
      <c r="P32" s="54">
        <f t="shared" si="6"/>
        <v>25</v>
      </c>
      <c r="Q32" s="54">
        <f t="shared" si="7"/>
        <v>6.21</v>
      </c>
      <c r="R32" s="56">
        <f>RANK(Q32,$Q$13:$Q$36,0)+COUNTIF($Q$13:Q32,Q32)-1</f>
        <v>11</v>
      </c>
      <c r="S32" s="51" t="str">
        <f t="shared" si="8"/>
        <v>Improve compliance risk assessment, monitoring and escalation processes.</v>
      </c>
      <c r="T32" s="56">
        <v>20</v>
      </c>
      <c r="U32" s="51">
        <f t="shared" si="9"/>
        <v>51.75</v>
      </c>
      <c r="V32" s="51">
        <f t="shared" si="10"/>
        <v>59.512500000000003</v>
      </c>
      <c r="W32" s="51">
        <f t="shared" si="11"/>
        <v>47.8125</v>
      </c>
      <c r="X32" s="51">
        <f>MIN(100,MAX(0,MIN(100,MAX(0,E32*(1+'Company Assessment'!$D$51)))*(1-(MIN(100,MAX(0,G32*(1+'Company Assessment'!$D$52)))/100*MaxMitigation)))+MAX(0,(100-I32)*UncertaintyFactor))</f>
        <v>52.809375000000003</v>
      </c>
      <c r="Y32" s="108">
        <f>RANK(P32,$P$13:$P$36,0)+COUNTIF($P$13:P32,P32)-1</f>
        <v>11</v>
      </c>
      <c r="Z32" s="108"/>
      <c r="AA32" s="28"/>
    </row>
    <row r="33" spans="1:27" ht="28.8" customHeight="1">
      <c r="A33" s="6"/>
      <c r="B33" s="49" t="s">
        <v>227</v>
      </c>
      <c r="C33" s="49" t="s">
        <v>151</v>
      </c>
      <c r="D33" s="44" t="str">
        <f>'Company Assessment'!$C$38</f>
        <v>High</v>
      </c>
      <c r="E33" s="54">
        <f t="shared" si="0"/>
        <v>75</v>
      </c>
      <c r="F33" s="44" t="str">
        <f>'Company Assessment'!$D$38</f>
        <v>Strong</v>
      </c>
      <c r="G33" s="54">
        <f t="shared" si="1"/>
        <v>75</v>
      </c>
      <c r="H33" s="44" t="str">
        <f>'Company Assessment'!$E$38</f>
        <v>Good</v>
      </c>
      <c r="I33" s="54">
        <f t="shared" si="2"/>
        <v>80</v>
      </c>
      <c r="J33" s="55">
        <v>0.15</v>
      </c>
      <c r="K33" s="54">
        <f>MIN(100,MAX(0,E33*(1+IF($C$5="Adverse Scenario",10%,IF($C$5="Custom Scenario",'Company Assessment'!$D$51,0)))))</f>
        <v>75</v>
      </c>
      <c r="L33" s="45">
        <f>MIN(100,MAX(0,G33*(1+IF($C$5="Adverse Scenario",-10%,IF($C$5="Improved Management Scenario",15%,IF($C$5="Custom Scenario",'Company Assessment'!$D$52,0))))))</f>
        <v>75</v>
      </c>
      <c r="M33" s="54">
        <f t="shared" si="3"/>
        <v>35.625000000000007</v>
      </c>
      <c r="N33" s="54">
        <f t="shared" si="4"/>
        <v>3</v>
      </c>
      <c r="O33" s="54">
        <f t="shared" si="5"/>
        <v>38.625000000000007</v>
      </c>
      <c r="P33" s="54">
        <f t="shared" si="6"/>
        <v>0</v>
      </c>
      <c r="Q33" s="54">
        <f t="shared" si="7"/>
        <v>5.7937500000000011</v>
      </c>
      <c r="R33" s="56">
        <f>RANK(Q33,$Q$13:$Q$36,0)+COUNTIF($Q$13:Q33,Q33)-1</f>
        <v>13</v>
      </c>
      <c r="S33" s="51" t="str">
        <f t="shared" si="8"/>
        <v>Integrate ESG risks into enterprise risk management and control assurance.</v>
      </c>
      <c r="T33" s="56">
        <v>21</v>
      </c>
      <c r="U33" s="51">
        <f t="shared" si="9"/>
        <v>38.625000000000007</v>
      </c>
      <c r="V33" s="51">
        <f t="shared" si="10"/>
        <v>46.518750000000004</v>
      </c>
      <c r="W33" s="51">
        <f t="shared" si="11"/>
        <v>32.71875</v>
      </c>
      <c r="X33" s="51">
        <f>MIN(100,MAX(0,MIN(100,MAX(0,E33*(1+'Company Assessment'!$D$51)))*(1-(MIN(100,MAX(0,G33*(1+'Company Assessment'!$D$52)))/100*MaxMitigation)))+MAX(0,(100-I33)*UncertaintyFactor))</f>
        <v>38.339062500000004</v>
      </c>
      <c r="Y33" s="108">
        <f>RANK(P33,$P$13:$P$36,0)+COUNTIF($P$13:P33,P33)-1</f>
        <v>19</v>
      </c>
      <c r="Z33" s="108"/>
      <c r="AA33" s="28"/>
    </row>
    <row r="34" spans="1:27" ht="28.8" customHeight="1">
      <c r="A34" s="6"/>
      <c r="B34" s="49" t="s">
        <v>227</v>
      </c>
      <c r="C34" s="49" t="s">
        <v>153</v>
      </c>
      <c r="D34" s="44" t="str">
        <f>'Company Assessment'!$C$39</f>
        <v>Moderate</v>
      </c>
      <c r="E34" s="54">
        <f t="shared" si="0"/>
        <v>50</v>
      </c>
      <c r="F34" s="44" t="str">
        <f>'Company Assessment'!$D$39</f>
        <v>Moderate</v>
      </c>
      <c r="G34" s="54">
        <f t="shared" si="1"/>
        <v>50</v>
      </c>
      <c r="H34" s="44" t="str">
        <f>'Company Assessment'!$E$39</f>
        <v>Moderate</v>
      </c>
      <c r="I34" s="54">
        <f t="shared" si="2"/>
        <v>60</v>
      </c>
      <c r="J34" s="55">
        <v>0.15</v>
      </c>
      <c r="K34" s="54">
        <f>MIN(100,MAX(0,E34*(1+IF($C$5="Adverse Scenario",10%,IF($C$5="Custom Scenario",'Company Assessment'!$D$51,0)))))</f>
        <v>50</v>
      </c>
      <c r="L34" s="45">
        <f>MIN(100,MAX(0,G34*(1+IF($C$5="Adverse Scenario",-10%,IF($C$5="Improved Management Scenario",15%,IF($C$5="Custom Scenario",'Company Assessment'!$D$52,0))))))</f>
        <v>50</v>
      </c>
      <c r="M34" s="54">
        <f t="shared" si="3"/>
        <v>32.5</v>
      </c>
      <c r="N34" s="54">
        <f t="shared" si="4"/>
        <v>6</v>
      </c>
      <c r="O34" s="54">
        <f t="shared" si="5"/>
        <v>38.5</v>
      </c>
      <c r="P34" s="54">
        <f t="shared" si="6"/>
        <v>0</v>
      </c>
      <c r="Q34" s="54">
        <f t="shared" si="7"/>
        <v>5.7749999999999995</v>
      </c>
      <c r="R34" s="56">
        <f>RANK(Q34,$Q$13:$Q$36,0)+COUNTIF($Q$13:Q34,Q34)-1</f>
        <v>14</v>
      </c>
      <c r="S34" s="51" t="str">
        <f t="shared" si="8"/>
        <v>Strengthen cyber resilience, privacy controls and tested incident-response plans.</v>
      </c>
      <c r="T34" s="56">
        <v>22</v>
      </c>
      <c r="U34" s="51">
        <f t="shared" si="9"/>
        <v>38.5</v>
      </c>
      <c r="V34" s="51">
        <f t="shared" si="10"/>
        <v>43.675000000000004</v>
      </c>
      <c r="W34" s="51">
        <f t="shared" si="11"/>
        <v>35.875</v>
      </c>
      <c r="X34" s="51">
        <f>MIN(100,MAX(0,MIN(100,MAX(0,E34*(1+'Company Assessment'!$D$51)))*(1-(MIN(100,MAX(0,G34*(1+'Company Assessment'!$D$52)))/100*MaxMitigation)))+MAX(0,(100-I34)*UncertaintyFactor))</f>
        <v>39.206250000000004</v>
      </c>
      <c r="Y34" s="108">
        <f>RANK(P34,$P$13:$P$36,0)+COUNTIF($P$13:P34,P34)-1</f>
        <v>20</v>
      </c>
      <c r="Z34" s="108"/>
      <c r="AA34" s="28"/>
    </row>
    <row r="35" spans="1:27" ht="28.8" customHeight="1">
      <c r="A35" s="6"/>
      <c r="B35" s="49" t="s">
        <v>227</v>
      </c>
      <c r="C35" s="49" t="s">
        <v>155</v>
      </c>
      <c r="D35" s="44" t="str">
        <f>'Company Assessment'!$C$40</f>
        <v>Moderate</v>
      </c>
      <c r="E35" s="54">
        <f t="shared" si="0"/>
        <v>50</v>
      </c>
      <c r="F35" s="44" t="str">
        <f>'Company Assessment'!$D$40</f>
        <v>Moderate</v>
      </c>
      <c r="G35" s="54">
        <f t="shared" si="1"/>
        <v>50</v>
      </c>
      <c r="H35" s="44" t="str">
        <f>'Company Assessment'!$E$40</f>
        <v>Limited</v>
      </c>
      <c r="I35" s="54">
        <f t="shared" si="2"/>
        <v>40</v>
      </c>
      <c r="J35" s="55">
        <v>0.08</v>
      </c>
      <c r="K35" s="54">
        <f>MIN(100,MAX(0,E35*(1+IF($C$5="Adverse Scenario",10%,IF($C$5="Custom Scenario",'Company Assessment'!$D$51,0)))))</f>
        <v>50</v>
      </c>
      <c r="L35" s="45">
        <f>MIN(100,MAX(0,G35*(1+IF($C$5="Adverse Scenario",-10%,IF($C$5="Improved Management Scenario",15%,IF($C$5="Custom Scenario",'Company Assessment'!$D$52,0))))))</f>
        <v>50</v>
      </c>
      <c r="M35" s="54">
        <f t="shared" si="3"/>
        <v>32.5</v>
      </c>
      <c r="N35" s="54">
        <f t="shared" si="4"/>
        <v>9</v>
      </c>
      <c r="O35" s="54">
        <f t="shared" si="5"/>
        <v>41.5</v>
      </c>
      <c r="P35" s="54">
        <f t="shared" si="6"/>
        <v>0</v>
      </c>
      <c r="Q35" s="54">
        <f t="shared" si="7"/>
        <v>3.3200000000000003</v>
      </c>
      <c r="R35" s="56">
        <f>RANK(Q35,$Q$13:$Q$36,0)+COUNTIF($Q$13:Q35,Q35)-1</f>
        <v>21</v>
      </c>
      <c r="S35" s="51" t="str">
        <f t="shared" si="8"/>
        <v>Formalize responsible tax principles and improve tax transparency.</v>
      </c>
      <c r="T35" s="56">
        <v>23</v>
      </c>
      <c r="U35" s="51">
        <f t="shared" si="9"/>
        <v>41.5</v>
      </c>
      <c r="V35" s="51">
        <f t="shared" si="10"/>
        <v>46.675000000000004</v>
      </c>
      <c r="W35" s="51">
        <f t="shared" si="11"/>
        <v>38.875</v>
      </c>
      <c r="X35" s="51">
        <f>MIN(100,MAX(0,MIN(100,MAX(0,E35*(1+'Company Assessment'!$D$51)))*(1-(MIN(100,MAX(0,G35*(1+'Company Assessment'!$D$52)))/100*MaxMitigation)))+MAX(0,(100-I35)*UncertaintyFactor))</f>
        <v>42.206250000000004</v>
      </c>
      <c r="Y35" s="108">
        <f>RANK(P35,$P$13:$P$36,0)+COUNTIF($P$13:P35,P35)-1</f>
        <v>21</v>
      </c>
      <c r="Z35" s="108"/>
      <c r="AA35" s="28"/>
    </row>
    <row r="36" spans="1:27" ht="28.8" customHeight="1">
      <c r="A36" s="6"/>
      <c r="B36" s="49" t="s">
        <v>227</v>
      </c>
      <c r="C36" s="49" t="s">
        <v>157</v>
      </c>
      <c r="D36" s="44" t="str">
        <f>'Company Assessment'!$C$41</f>
        <v>High</v>
      </c>
      <c r="E36" s="54">
        <f t="shared" si="0"/>
        <v>75</v>
      </c>
      <c r="F36" s="44" t="str">
        <f>'Company Assessment'!$D$41</f>
        <v>Moderate</v>
      </c>
      <c r="G36" s="54">
        <f t="shared" si="1"/>
        <v>50</v>
      </c>
      <c r="H36" s="44" t="str">
        <f>'Company Assessment'!$E$41</f>
        <v>Moderate</v>
      </c>
      <c r="I36" s="54">
        <f t="shared" si="2"/>
        <v>60</v>
      </c>
      <c r="J36" s="55">
        <v>0.12</v>
      </c>
      <c r="K36" s="54">
        <f>MIN(100,MAX(0,E36*(1+IF($C$5="Adverse Scenario",10%,IF($C$5="Custom Scenario",'Company Assessment'!$D$51,0)))))</f>
        <v>75</v>
      </c>
      <c r="L36" s="45">
        <f>MIN(100,MAX(0,G36*(1+IF($C$5="Adverse Scenario",-10%,IF($C$5="Improved Management Scenario",15%,IF($C$5="Custom Scenario",'Company Assessment'!$D$52,0))))))</f>
        <v>50</v>
      </c>
      <c r="M36" s="54">
        <f t="shared" si="3"/>
        <v>48.75</v>
      </c>
      <c r="N36" s="54">
        <f t="shared" si="4"/>
        <v>6</v>
      </c>
      <c r="O36" s="54">
        <f t="shared" si="5"/>
        <v>54.75</v>
      </c>
      <c r="P36" s="54">
        <f t="shared" si="6"/>
        <v>25</v>
      </c>
      <c r="Q36" s="54">
        <f t="shared" si="7"/>
        <v>6.5699999999999994</v>
      </c>
      <c r="R36" s="56">
        <f>RANK(Q36,$Q$13:$Q$36,0)+COUNTIF($Q$13:Q36,Q36)-1</f>
        <v>9</v>
      </c>
      <c r="S36" s="51" t="str">
        <f t="shared" si="8"/>
        <v>Improve disclosure controls, data ownership and external assurance.</v>
      </c>
      <c r="T36" s="56">
        <v>24</v>
      </c>
      <c r="U36" s="51">
        <f t="shared" si="9"/>
        <v>54.75</v>
      </c>
      <c r="V36" s="51">
        <f t="shared" si="10"/>
        <v>62.512500000000003</v>
      </c>
      <c r="W36" s="51">
        <f t="shared" si="11"/>
        <v>50.8125</v>
      </c>
      <c r="X36" s="51">
        <f>MIN(100,MAX(0,MIN(100,MAX(0,E36*(1+'Company Assessment'!$D$51)))*(1-(MIN(100,MAX(0,G36*(1+'Company Assessment'!$D$52)))/100*MaxMitigation)))+MAX(0,(100-I36)*UncertaintyFactor))</f>
        <v>55.809375000000003</v>
      </c>
      <c r="Y36" s="108">
        <f>RANK(P36,$P$13:$P$36,0)+COUNTIF($P$13:P36,P36)-1</f>
        <v>12</v>
      </c>
      <c r="Z36" s="108"/>
      <c r="AA36" s="28"/>
    </row>
    <row r="37" spans="1:27" ht="32.4" customHeight="1">
      <c r="A37" s="6"/>
      <c r="B37" s="81" t="s">
        <v>228</v>
      </c>
      <c r="C37" s="81"/>
      <c r="D37" s="81"/>
      <c r="E37" s="28"/>
      <c r="F37" s="111" t="s">
        <v>229</v>
      </c>
      <c r="G37" s="111"/>
      <c r="H37" s="111"/>
      <c r="I37" s="111"/>
      <c r="J37" s="111"/>
      <c r="K37" s="111"/>
      <c r="L37" s="32" t="str">
        <f>IF(D39&lt;&gt;"OK","Environmental factor weights: "&amp;D39&amp;" | ","")&amp;IF(D40&lt;&gt;"OK","Social factor weights: "&amp;D40&amp;" | ","")&amp;IF(D41&lt;&gt;"OK","Governance factor weights: "&amp;D41&amp;" | ","")&amp;IF(K42&lt;&gt;"OK","Pillar weights: "&amp;K42,"")</f>
        <v/>
      </c>
      <c r="M37" s="32"/>
      <c r="N37" s="32"/>
      <c r="O37" s="32"/>
      <c r="P37" s="32"/>
      <c r="Q37" s="32"/>
      <c r="R37" s="32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34.200000000000003" customHeight="1">
      <c r="A38" s="6"/>
      <c r="B38" s="30" t="s">
        <v>202</v>
      </c>
      <c r="C38" s="30" t="s">
        <v>230</v>
      </c>
      <c r="D38" s="30" t="s">
        <v>231</v>
      </c>
      <c r="E38" s="28"/>
      <c r="F38" s="30" t="s">
        <v>202</v>
      </c>
      <c r="G38" s="30" t="s">
        <v>232</v>
      </c>
      <c r="H38" s="30" t="s">
        <v>233</v>
      </c>
      <c r="I38" s="30" t="s">
        <v>234</v>
      </c>
      <c r="J38" s="30" t="s">
        <v>235</v>
      </c>
      <c r="K38" s="30" t="s">
        <v>231</v>
      </c>
      <c r="L38" s="32"/>
      <c r="M38" s="34"/>
      <c r="N38" s="34"/>
      <c r="O38" s="34"/>
      <c r="P38" s="34"/>
      <c r="Q38" s="34"/>
      <c r="R38" s="34"/>
    </row>
    <row r="39" spans="1:27">
      <c r="A39" s="6"/>
      <c r="B39" s="42" t="s">
        <v>225</v>
      </c>
      <c r="C39" s="52">
        <f>SUMIF($B$13:$B$36,B39,$J$13:$J$36)</f>
        <v>1</v>
      </c>
      <c r="D39" s="17" t="str">
        <f>IF(ABS(C39-100%)&lt;0.0001,"OK","Warning: total "&amp;TEXT(C39,"0.0%"))</f>
        <v>OK</v>
      </c>
      <c r="E39" s="28"/>
      <c r="F39" s="42" t="s">
        <v>225</v>
      </c>
      <c r="G39" s="53">
        <v>0.4</v>
      </c>
      <c r="H39" s="53">
        <f>IFERROR(INDEX(IndustryEnvWeights,MATCH($C$9,IndustryList,0)),40%)</f>
        <v>0.5</v>
      </c>
      <c r="I39" s="53">
        <f>'Company Assessment'!$H$51</f>
        <v>0.4</v>
      </c>
      <c r="J39" s="53">
        <f>IF($C$6="Industry Recommended Weights",H39,IF($C$6="Standard Weights",G39,IF($C$6="Custom Weights",I39,G39)))</f>
        <v>0.5</v>
      </c>
      <c r="K39" s="17" t="str">
        <f>IF(ABS($J$42-100%)&lt;0.0001,"OK","Weights normalized in scoring")</f>
        <v>OK</v>
      </c>
      <c r="L39" s="32"/>
      <c r="M39" s="34"/>
      <c r="N39" s="34"/>
      <c r="O39" s="34"/>
      <c r="P39" s="34"/>
      <c r="Q39" s="34"/>
      <c r="R39" s="34"/>
    </row>
    <row r="40" spans="1:27">
      <c r="A40" s="6"/>
      <c r="B40" s="42" t="s">
        <v>226</v>
      </c>
      <c r="C40" s="52">
        <f>SUMIF($B$13:$B$36,B40,$J$13:$J$36)</f>
        <v>1</v>
      </c>
      <c r="D40" s="17" t="str">
        <f>IF(ABS(C40-100%)&lt;0.0001,"OK","Warning: total "&amp;TEXT(C40,"0.0%"))</f>
        <v>OK</v>
      </c>
      <c r="E40" s="28"/>
      <c r="F40" s="42" t="s">
        <v>226</v>
      </c>
      <c r="G40" s="53">
        <v>0.3</v>
      </c>
      <c r="H40" s="53">
        <f>IFERROR(INDEX(IndustrySocialWeights,MATCH($C$9,IndustryList,0)),30%)</f>
        <v>0.3</v>
      </c>
      <c r="I40" s="53">
        <f>'Company Assessment'!$H$52</f>
        <v>0.3</v>
      </c>
      <c r="J40" s="53">
        <f>IF($C$6="Industry Recommended Weights",H40,IF($C$6="Standard Weights",G40,IF($C$6="Custom Weights",I40,G40)))</f>
        <v>0.3</v>
      </c>
      <c r="K40" s="17" t="str">
        <f>IF(ABS($J$42-100%)&lt;0.0001,"OK","Weights normalized in scoring")</f>
        <v>OK</v>
      </c>
      <c r="L40" s="32"/>
      <c r="M40" s="34"/>
      <c r="N40" s="34"/>
      <c r="O40" s="34"/>
      <c r="P40" s="34"/>
      <c r="Q40" s="34"/>
      <c r="R40" s="34"/>
    </row>
    <row r="41" spans="1:27">
      <c r="A41" s="6"/>
      <c r="B41" s="42" t="s">
        <v>227</v>
      </c>
      <c r="C41" s="52">
        <f>SUMIF($B$13:$B$36,B41,$J$13:$J$36)</f>
        <v>1</v>
      </c>
      <c r="D41" s="17" t="str">
        <f>IF(ABS(C41-100%)&lt;0.0001,"OK","Warning: total "&amp;TEXT(C41,"0.0%"))</f>
        <v>OK</v>
      </c>
      <c r="E41" s="28"/>
      <c r="F41" s="42" t="s">
        <v>227</v>
      </c>
      <c r="G41" s="53">
        <v>0.3</v>
      </c>
      <c r="H41" s="53">
        <f>IFERROR(INDEX(IndustryGovWeights,MATCH($C$9,IndustryList,0)),30%)</f>
        <v>0.2</v>
      </c>
      <c r="I41" s="53">
        <f>'Company Assessment'!$H$53</f>
        <v>0.3</v>
      </c>
      <c r="J41" s="53">
        <f>IF($C$6="Industry Recommended Weights",H41,IF($C$6="Standard Weights",G41,IF($C$6="Custom Weights",I41,G41)))</f>
        <v>0.2</v>
      </c>
      <c r="K41" s="17" t="str">
        <f>IF(ABS($J$42-100%)&lt;0.0001,"OK","Weights normalized in scoring")</f>
        <v>OK</v>
      </c>
      <c r="L41" s="32"/>
      <c r="M41" s="34"/>
      <c r="N41" s="34"/>
      <c r="O41" s="34"/>
      <c r="P41" s="34"/>
      <c r="Q41" s="34"/>
      <c r="R41" s="34"/>
    </row>
    <row r="42" spans="1:27">
      <c r="A42" s="6"/>
      <c r="B42" s="28"/>
      <c r="C42" s="28"/>
      <c r="D42" s="28"/>
      <c r="E42" s="28"/>
      <c r="F42" s="42" t="s">
        <v>236</v>
      </c>
      <c r="G42" s="53">
        <v>1</v>
      </c>
      <c r="H42" s="53">
        <f>SUM(H39:H41)</f>
        <v>1</v>
      </c>
      <c r="I42" s="53">
        <f>SUM(I39:I41)</f>
        <v>1</v>
      </c>
      <c r="J42" s="53">
        <f>SUM(J39:J41)</f>
        <v>1</v>
      </c>
      <c r="K42" s="17" t="str">
        <f>IF(ABS(J42-100%)&lt;0.0001,"OK","Warning: total "&amp;TEXT(J42,"0.0%"))</f>
        <v>OK</v>
      </c>
      <c r="L42" s="28"/>
    </row>
    <row r="43" spans="1:27">
      <c r="A43" s="6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pans="1:27" ht="30.6" customHeight="1">
      <c r="A44" s="6"/>
      <c r="B44" s="111" t="s">
        <v>237</v>
      </c>
      <c r="C44" s="111"/>
      <c r="D44" s="111"/>
      <c r="E44" s="111"/>
      <c r="F44" s="111"/>
      <c r="G44" s="111"/>
      <c r="H44" s="111"/>
      <c r="I44" s="28"/>
    </row>
    <row r="45" spans="1:27" ht="40.799999999999997" customHeight="1">
      <c r="A45" s="6"/>
      <c r="B45" s="30" t="s">
        <v>202</v>
      </c>
      <c r="C45" s="30" t="s">
        <v>238</v>
      </c>
      <c r="D45" s="30" t="s">
        <v>212</v>
      </c>
      <c r="E45" s="30" t="s">
        <v>239</v>
      </c>
      <c r="F45" s="30" t="s">
        <v>97</v>
      </c>
      <c r="G45" s="30" t="s">
        <v>240</v>
      </c>
      <c r="H45" s="30" t="s">
        <v>241</v>
      </c>
      <c r="I45" s="28"/>
    </row>
    <row r="46" spans="1:27">
      <c r="A46" s="6"/>
      <c r="B46" s="42" t="s">
        <v>225</v>
      </c>
      <c r="C46" s="18">
        <f>IFERROR(SUMPRODUCT(($B$13:$B$36=B46)*$K$13:$K$36*$J$13:$J$36)/SUMPRODUCT(($B$13:$B$36=B46)*$J$13:$J$36),0)</f>
        <v>79.5</v>
      </c>
      <c r="D46" s="18">
        <f>IFERROR(SUMPRODUCT(($B$13:$B$36=B46)*$M$13:$M$36*$J$13:$J$36)/SUMPRODUCT(($B$13:$B$36=B46)*$J$13:$J$36),0)</f>
        <v>53.092500000000001</v>
      </c>
      <c r="E46" s="18">
        <f>IFERROR(SUMPRODUCT(($B$13:$B$36=B46)*$O$13:$O$36*$J$13:$J$36)/SUMPRODUCT(($B$13:$B$36=B46)*$J$13:$J$36),0)</f>
        <v>58.582500000000003</v>
      </c>
      <c r="F46" s="51">
        <f>IFERROR(SUMPRODUCT(($B$13:$B$36=B46)*$L$13:$L$36*$J$13:$J$36)/SUMPRODUCT(($B$13:$B$36=B46)*$J$13:$J$36),0)</f>
        <v>48.1</v>
      </c>
      <c r="G46" s="51">
        <f>IFERROR(SUMPRODUCT(($B$13:$B$36=B46)*$I$13:$I$36*$J$13:$J$36)/SUMPRODUCT(($B$13:$B$36=B46)*$J$13:$J$36),0)</f>
        <v>63.399999999999991</v>
      </c>
      <c r="H46" s="51">
        <f>E46-D46</f>
        <v>5.490000000000002</v>
      </c>
      <c r="I46" s="28"/>
    </row>
    <row r="47" spans="1:27">
      <c r="A47" s="6"/>
      <c r="B47" s="42" t="s">
        <v>226</v>
      </c>
      <c r="C47" s="18">
        <f>IFERROR(SUMPRODUCT(($B$13:$B$36=B47)*$K$13:$K$36*$J$13:$J$36)/SUMPRODUCT(($B$13:$B$36=B47)*$J$13:$J$36),0)</f>
        <v>70</v>
      </c>
      <c r="D47" s="18">
        <f>IFERROR(SUMPRODUCT(($B$13:$B$36=B47)*$M$13:$M$36*$J$13:$J$36)/SUMPRODUCT(($B$13:$B$36=B47)*$J$13:$J$36),0)</f>
        <v>45.394999999999996</v>
      </c>
      <c r="E47" s="18">
        <f>IFERROR(SUMPRODUCT(($B$13:$B$36=B47)*$O$13:$O$36*$J$13:$J$36)/SUMPRODUCT(($B$13:$B$36=B47)*$J$13:$J$36),0)</f>
        <v>51.455000000000005</v>
      </c>
      <c r="F47" s="51">
        <f>IFERROR(SUMPRODUCT(($B$13:$B$36=B47)*$L$13:$L$36*$J$13:$J$36)/SUMPRODUCT(($B$13:$B$36=B47)*$J$13:$J$36),0)</f>
        <v>52.7</v>
      </c>
      <c r="G47" s="51">
        <f>IFERROR(SUMPRODUCT(($B$13:$B$36=B47)*$I$13:$I$36*$J$13:$J$36)/SUMPRODUCT(($B$13:$B$36=B47)*$J$13:$J$36),0)</f>
        <v>59.599999999999994</v>
      </c>
      <c r="H47" s="51">
        <f>E47-D47</f>
        <v>6.0600000000000094</v>
      </c>
      <c r="I47" s="28"/>
    </row>
    <row r="48" spans="1:27">
      <c r="A48" s="6"/>
      <c r="B48" s="42" t="s">
        <v>227</v>
      </c>
      <c r="C48" s="18">
        <f>IFERROR(SUMPRODUCT(($B$13:$B$36=B48)*$K$13:$K$36*$J$13:$J$36)/SUMPRODUCT(($B$13:$B$36=B48)*$J$13:$J$36),0)</f>
        <v>63.5</v>
      </c>
      <c r="D48" s="18">
        <f>IFERROR(SUMPRODUCT(($B$13:$B$36=B48)*$M$13:$M$36*$J$13:$J$36)/SUMPRODUCT(($B$13:$B$36=B48)*$J$13:$J$36),0)</f>
        <v>36.025000000000006</v>
      </c>
      <c r="E48" s="18">
        <f>IFERROR(SUMPRODUCT(($B$13:$B$36=B48)*$O$13:$O$36*$J$13:$J$36)/SUMPRODUCT(($B$13:$B$36=B48)*$J$13:$J$36),0)</f>
        <v>40.555</v>
      </c>
      <c r="F48" s="51">
        <f>IFERROR(SUMPRODUCT(($B$13:$B$36=B48)*$L$13:$L$36*$J$13:$J$36)/SUMPRODUCT(($B$13:$B$36=B48)*$J$13:$J$36),0)</f>
        <v>61.25</v>
      </c>
      <c r="G48" s="51">
        <f>IFERROR(SUMPRODUCT(($B$13:$B$36=B48)*$I$13:$I$36*$J$13:$J$36)/SUMPRODUCT(($B$13:$B$36=B48)*$J$13:$J$36),0)</f>
        <v>69.8</v>
      </c>
      <c r="H48" s="51">
        <f>E48-D48</f>
        <v>4.529999999999994</v>
      </c>
      <c r="I48" s="28"/>
    </row>
    <row r="49" spans="1:11">
      <c r="A49" s="6"/>
      <c r="B49" s="42" t="s">
        <v>242</v>
      </c>
      <c r="C49" s="18">
        <f t="shared" ref="C49:H49" si="12">IFERROR(SUMPRODUCT(C46:C48,$J$39:$J$41)/SUM($J$39:$J$41),0)</f>
        <v>73.45</v>
      </c>
      <c r="D49" s="18">
        <f t="shared" si="12"/>
        <v>47.369749999999996</v>
      </c>
      <c r="E49" s="18">
        <f t="shared" si="12"/>
        <v>52.838750000000005</v>
      </c>
      <c r="F49" s="51">
        <f t="shared" si="12"/>
        <v>52.11</v>
      </c>
      <c r="G49" s="51">
        <f t="shared" si="12"/>
        <v>63.54</v>
      </c>
      <c r="H49" s="51">
        <f t="shared" si="12"/>
        <v>5.469000000000003</v>
      </c>
      <c r="I49" s="28"/>
    </row>
    <row r="50" spans="1:11" ht="25.2" customHeight="1">
      <c r="A50" s="6"/>
      <c r="B50" s="111" t="s">
        <v>243</v>
      </c>
      <c r="C50" s="111"/>
      <c r="D50" s="111"/>
      <c r="E50" s="28"/>
      <c r="F50" s="111" t="s">
        <v>244</v>
      </c>
      <c r="G50" s="111"/>
      <c r="H50" s="111"/>
      <c r="I50" s="111"/>
      <c r="J50" s="111"/>
      <c r="K50" s="28"/>
    </row>
    <row r="51" spans="1:11" ht="22.35" customHeight="1">
      <c r="A51" s="6"/>
      <c r="B51" s="30" t="s">
        <v>245</v>
      </c>
      <c r="C51" s="30" t="s">
        <v>246</v>
      </c>
      <c r="D51" s="30" t="s">
        <v>247</v>
      </c>
      <c r="E51" s="28"/>
      <c r="F51" s="30" t="s">
        <v>248</v>
      </c>
      <c r="G51" s="30" t="s">
        <v>249</v>
      </c>
      <c r="H51" s="30" t="s">
        <v>250</v>
      </c>
      <c r="I51" s="30" t="s">
        <v>251</v>
      </c>
      <c r="J51" s="30" t="s">
        <v>252</v>
      </c>
      <c r="K51" s="28"/>
    </row>
    <row r="52" spans="1:11">
      <c r="A52" s="6"/>
      <c r="B52" s="49" t="s">
        <v>253</v>
      </c>
      <c r="C52" s="18">
        <f>MIN(100,IFERROR(INDEX(SeverityMainScores,MATCH('Company Assessment'!$H$43,SeverityLabels,0)),0)+MIN(20,MAX(0,'Company Assessment'!$D$43)*4)+IF('Company Assessment'!$D$44="Yes",8,0)+IFERROR(INDEX(RecencyScores,MATCH('Company Assessment'!$H$44,RecencyLabels,0)),0)+IFERROR(INDEX(FineSeverityScores,MATCH('Company Assessment'!$D$45,SeverityLabels,0)),0)+IF('Company Assessment'!$H$45="Yes",6,0)+IF('Company Assessment'!$D$46="Yes",10,0)+IF('Company Assessment'!$H$46="Yes",10,0)+IF('Company Assessment'!$D$47="Yes",8,0)+IF('Company Assessment'!$H$47="Yes",6,0)+IF('Company Assessment'!$D$48="Yes",6,0))</f>
        <v>78</v>
      </c>
      <c r="D52" s="42" t="s">
        <v>254</v>
      </c>
      <c r="E52" s="28"/>
      <c r="F52" s="42" t="s">
        <v>178</v>
      </c>
      <c r="G52" s="50">
        <v>0</v>
      </c>
      <c r="H52" s="50">
        <v>0</v>
      </c>
      <c r="I52" s="50">
        <v>0</v>
      </c>
      <c r="J52" s="18">
        <f>MIN(100,IFERROR((IFERROR(SUMPRODUCT(($B$13:$B$36="Environmental")*$U$13:$U$36*$J$13:$J$36)/SUMPRODUCT(($B$13:$B$36="Environmental")*$J$13:$J$36),0)*$J$39+IFERROR(SUMPRODUCT(($B$13:$B$36="Social")*$U$13:$U$36*$J$13:$J$36)/SUMPRODUCT(($B$13:$B$36="Social")*$J$13:$J$36),0)*$J$40+IFERROR(SUMPRODUCT(($B$13:$B$36="Governance")*$U$13:$U$36*$J$13:$J$36)/SUMPRODUCT(($B$13:$B$36="Governance")*$J$13:$J$36),0)*$J$41)/SUM($J$39:$J$41),0)+MIN(40,MAX(0,$C$52*ControversyScale*(1+I52))))</f>
        <v>76.23875000000001</v>
      </c>
      <c r="K52" s="28"/>
    </row>
    <row r="53" spans="1:11" ht="32.4">
      <c r="A53" s="6"/>
      <c r="B53" s="49" t="s">
        <v>255</v>
      </c>
      <c r="C53" s="19">
        <f>IF($C$5="Base Case",0,IF($C$5="Adverse Scenario",20%,IF($C$5="Improved Management Scenario",IF('Company Assessment'!$D$44="Yes",-15%,0),IF($C$5="Custom Scenario",'Company Assessment'!$D$53,0))))</f>
        <v>0</v>
      </c>
      <c r="D53" s="42" t="s">
        <v>256</v>
      </c>
      <c r="E53" s="28"/>
      <c r="F53" s="42" t="s">
        <v>257</v>
      </c>
      <c r="G53" s="50">
        <v>0.1</v>
      </c>
      <c r="H53" s="50">
        <v>-0.1</v>
      </c>
      <c r="I53" s="50">
        <v>0.2</v>
      </c>
      <c r="J53" s="18">
        <f>MIN(100,IFERROR((IFERROR(SUMPRODUCT(($B$13:$B$36="Environmental")*$V$13:$V$36*$J$13:$J$36)/SUMPRODUCT(($B$13:$B$36="Environmental")*$J$13:$J$36),0)*$J$39+IFERROR(SUMPRODUCT(($B$13:$B$36="Social")*$V$13:$V$36*$J$13:$J$36)/SUMPRODUCT(($B$13:$B$36="Social")*$J$13:$J$36),0)*$J$40+IFERROR(SUMPRODUCT(($B$13:$B$36="Governance")*$V$13:$V$36*$J$13:$J$36)/SUMPRODUCT(($B$13:$B$36="Governance")*$J$13:$J$36),0)*$J$41)/SUM($J$39:$J$41),0)+MIN(40,MAX(0,$C$52*ControversyScale*(1+I53))))</f>
        <v>86.804952499999999</v>
      </c>
      <c r="K53" s="28"/>
    </row>
    <row r="54" spans="1:11" ht="43.8" customHeight="1">
      <c r="A54" s="6"/>
      <c r="B54" s="49" t="s">
        <v>258</v>
      </c>
      <c r="C54" s="18">
        <f>MIN(40,MAX(0,C52*ControversyScale*(1+C53)))</f>
        <v>23.4</v>
      </c>
      <c r="D54" s="42" t="s">
        <v>259</v>
      </c>
      <c r="E54" s="28"/>
      <c r="F54" s="42" t="s">
        <v>260</v>
      </c>
      <c r="G54" s="50">
        <v>0</v>
      </c>
      <c r="H54" s="50">
        <v>0.15</v>
      </c>
      <c r="I54" s="50">
        <f>IF('Company Assessment'!$D$44="Yes",-15%,0)</f>
        <v>-0.15</v>
      </c>
      <c r="J54" s="18">
        <f>MIN(100,IFERROR((IFERROR(SUMPRODUCT(($B$13:$B$36="Environmental")*$W$13:$W$36*$J$13:$J$36)/SUMPRODUCT(($B$13:$B$36="Environmental")*$J$13:$J$36),0)*$J$39+IFERROR(SUMPRODUCT(($B$13:$B$36="Social")*$W$13:$W$36*$J$13:$J$36)/SUMPRODUCT(($B$13:$B$36="Social")*$J$13:$J$36),0)*$J$40+IFERROR(SUMPRODUCT(($B$13:$B$36="Governance")*$W$13:$W$36*$J$13:$J$36)/SUMPRODUCT(($B$13:$B$36="Governance")*$J$13:$J$36),0)*$J$41)/SUM($J$39:$J$41),0)+MIN(40,MAX(0,$C$52*ControversyScale*(1+I54))))</f>
        <v>68.816712499999994</v>
      </c>
      <c r="K54" s="28"/>
    </row>
    <row r="55" spans="1:11">
      <c r="A55" s="6"/>
      <c r="B55" s="49" t="s">
        <v>261</v>
      </c>
      <c r="C55" s="18">
        <f>MIN(100,E49+C54)</f>
        <v>76.23875000000001</v>
      </c>
      <c r="D55" s="42" t="s">
        <v>262</v>
      </c>
      <c r="E55" s="28"/>
      <c r="F55" s="42" t="s">
        <v>263</v>
      </c>
      <c r="G55" s="50">
        <f>'Company Assessment'!$D$51</f>
        <v>0.05</v>
      </c>
      <c r="H55" s="50">
        <f>'Company Assessment'!$D$52</f>
        <v>0.05</v>
      </c>
      <c r="I55" s="50">
        <f>'Company Assessment'!$D$53</f>
        <v>-0.1</v>
      </c>
      <c r="J55" s="18">
        <f>MIN(100,IFERROR((IFERROR(SUMPRODUCT(($B$13:$B$36="Environmental")*$X$13:$X$36*$J$13:$J$36)/SUMPRODUCT(($B$13:$B$36="Environmental")*$J$13:$J$36),0)*$J$39+IFERROR(SUMPRODUCT(($B$13:$B$36="Social")*$X$13:$X$36*$J$13:$J$36)/SUMPRODUCT(($B$13:$B$36="Social")*$J$13:$J$36),0)*$J$40+IFERROR(SUMPRODUCT(($B$13:$B$36="Governance")*$X$13:$X$36*$J$13:$J$36)/SUMPRODUCT(($B$13:$B$36="Governance")*$J$13:$J$36),0)*$J$41)/SUM($J$39:$J$41),0)+MIN(40,MAX(0,$C$52*ControversyScale*(1+I55))))</f>
        <v>74.094924375000005</v>
      </c>
      <c r="K55" s="28"/>
    </row>
    <row r="56" spans="1:11">
      <c r="A56" s="6"/>
      <c r="B56" s="49" t="s">
        <v>264</v>
      </c>
      <c r="C56" s="42" t="str">
        <f>IF(C55&lt;20,"Low",IF(C55&lt;40,"Low to Moderate",IF(C55&lt;60,"Moderate",IF(C55&lt;80,"High","Very High"))))</f>
        <v>High</v>
      </c>
      <c r="D56" s="42" t="s">
        <v>265</v>
      </c>
      <c r="E56" s="28"/>
      <c r="F56" s="28"/>
      <c r="G56" s="28"/>
      <c r="H56" s="28"/>
      <c r="I56" s="28"/>
      <c r="J56" s="28"/>
      <c r="K56" s="28"/>
    </row>
    <row r="57" spans="1:11">
      <c r="A57" s="6"/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1:11">
      <c r="A58" s="6"/>
      <c r="B58" s="28"/>
      <c r="C58" s="28"/>
      <c r="D58" s="28"/>
      <c r="E58" s="28"/>
      <c r="F58" s="28"/>
      <c r="G58" s="28"/>
      <c r="H58" s="28"/>
      <c r="I58" s="28"/>
      <c r="J58" s="28"/>
      <c r="K58" s="28"/>
    </row>
  </sheetData>
  <mergeCells count="34">
    <mergeCell ref="B1:C1"/>
    <mergeCell ref="Y26:Z26"/>
    <mergeCell ref="Y25:Z25"/>
    <mergeCell ref="Y24:Z24"/>
    <mergeCell ref="B44:H44"/>
    <mergeCell ref="B50:D50"/>
    <mergeCell ref="F50:J50"/>
    <mergeCell ref="B37:D37"/>
    <mergeCell ref="F37:K37"/>
    <mergeCell ref="Y31:Z31"/>
    <mergeCell ref="Y30:Z30"/>
    <mergeCell ref="Y29:Z29"/>
    <mergeCell ref="Y28:Z28"/>
    <mergeCell ref="Y27:Z27"/>
    <mergeCell ref="Y36:Z36"/>
    <mergeCell ref="Y35:Z35"/>
    <mergeCell ref="Y34:Z34"/>
    <mergeCell ref="Y33:Z33"/>
    <mergeCell ref="Y32:Z32"/>
    <mergeCell ref="Y23:Z23"/>
    <mergeCell ref="Y22:Z22"/>
    <mergeCell ref="Y21:Z21"/>
    <mergeCell ref="Y20:Z20"/>
    <mergeCell ref="Y19:Z19"/>
    <mergeCell ref="Y13:Z13"/>
    <mergeCell ref="B2:D2"/>
    <mergeCell ref="Y18:Z18"/>
    <mergeCell ref="Y16:Z16"/>
    <mergeCell ref="Y17:Z17"/>
    <mergeCell ref="Y15:Z15"/>
    <mergeCell ref="Y14:Z14"/>
    <mergeCell ref="Y12:Z12"/>
    <mergeCell ref="B4:D4"/>
    <mergeCell ref="B11:X11"/>
  </mergeCells>
  <conditionalFormatting sqref="C52:C55">
    <cfRule type="colorScale" priority="7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C46:E49">
    <cfRule type="colorScale" priority="6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D39:D41">
    <cfRule type="expression" dxfId="20" priority="12">
      <formula>LEFT(D39,2)="OK"</formula>
    </cfRule>
    <cfRule type="expression" dxfId="19" priority="13">
      <formula>LEFT(D39,7)="Warning"</formula>
    </cfRule>
  </conditionalFormatting>
  <conditionalFormatting sqref="E13:E36">
    <cfRule type="colorScale" priority="2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G13:G36">
    <cfRule type="colorScale" priority="9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I13:I36">
    <cfRule type="colorScale" priority="10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J52:J55">
    <cfRule type="colorScale" priority="8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K13:K36">
    <cfRule type="colorScale" priority="3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K39:K42">
    <cfRule type="expression" dxfId="18" priority="14">
      <formula>K39="OK"</formula>
    </cfRule>
    <cfRule type="expression" dxfId="17" priority="15">
      <formula>LEFT(K39,7)="Warning"</formula>
    </cfRule>
  </conditionalFormatting>
  <conditionalFormatting sqref="M13:O36">
    <cfRule type="colorScale" priority="4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P13:P36">
    <cfRule type="colorScale" priority="11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Q13:Q36">
    <cfRule type="colorScale" priority="5">
      <colorScale>
        <cfvo type="min"/>
        <cfvo type="percentile" val="50"/>
        <cfvo type="max"/>
        <color rgb="FFD9EAD3"/>
        <color rgb="FFFFF2CC"/>
        <color rgb="FFF4CCCC"/>
      </colorScale>
    </cfRule>
  </conditionalFormatting>
  <dataValidations count="1">
    <dataValidation type="decimal" sqref="C7:C8 C10 J13:J36" xr:uid="{00000000-0002-0000-0200-000000000000}">
      <formula1>0</formula1>
      <formula2>1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94"/>
  <sheetViews>
    <sheetView topLeftCell="A80" zoomScale="85" zoomScaleNormal="85" workbookViewId="0">
      <selection activeCell="A95" sqref="A95:A1048576"/>
    </sheetView>
  </sheetViews>
  <sheetFormatPr defaultRowHeight="16.8"/>
  <cols>
    <col min="1" max="1" width="8.796875" style="27"/>
    <col min="2" max="2" width="38" style="27" customWidth="1"/>
    <col min="3" max="3" width="16" style="27" customWidth="1"/>
    <col min="4" max="9" width="15" style="27" customWidth="1"/>
    <col min="10" max="16" width="13" style="27" customWidth="1"/>
    <col min="17" max="19" width="8.796875" style="27"/>
    <col min="20" max="22" width="18" style="27" customWidth="1"/>
    <col min="23" max="23" width="19.3984375" style="27" customWidth="1"/>
    <col min="24" max="24" width="20.5" style="27" customWidth="1"/>
    <col min="25" max="28" width="18" style="27" customWidth="1"/>
    <col min="29" max="16384" width="8.796875" style="27"/>
  </cols>
  <sheetData>
    <row r="1" spans="1:29" ht="75.599999999999994" customHeight="1">
      <c r="A1" s="28"/>
      <c r="B1" s="128"/>
      <c r="C1" s="128"/>
      <c r="D1" s="130" t="s">
        <v>266</v>
      </c>
      <c r="E1" s="130"/>
      <c r="F1" s="130"/>
      <c r="G1" s="130"/>
      <c r="H1" s="130"/>
      <c r="I1" s="130"/>
      <c r="J1" s="65"/>
      <c r="K1" s="66"/>
      <c r="L1" s="66"/>
      <c r="M1" s="66"/>
      <c r="N1" s="66"/>
      <c r="O1" s="66"/>
      <c r="P1" s="66"/>
      <c r="S1" s="28"/>
      <c r="T1" s="122" t="s">
        <v>423</v>
      </c>
      <c r="U1" s="122"/>
      <c r="V1" s="122"/>
      <c r="W1" s="122"/>
      <c r="X1" s="122"/>
      <c r="Y1" s="122"/>
      <c r="Z1" s="122"/>
      <c r="AA1" s="70"/>
      <c r="AB1" s="69"/>
    </row>
    <row r="2" spans="1:29" ht="34.200000000000003" customHeight="1">
      <c r="A2" s="28"/>
      <c r="B2" s="129" t="s">
        <v>267</v>
      </c>
      <c r="C2" s="129"/>
      <c r="D2" s="129"/>
      <c r="E2" s="129"/>
      <c r="F2" s="64"/>
      <c r="G2" s="64"/>
      <c r="H2" s="64"/>
      <c r="I2" s="64"/>
      <c r="J2" s="64"/>
      <c r="K2" s="67"/>
      <c r="L2" s="67"/>
      <c r="M2" s="67"/>
      <c r="N2" s="67"/>
      <c r="O2" s="67"/>
      <c r="P2" s="67"/>
      <c r="S2" s="28"/>
      <c r="T2" s="68" t="s">
        <v>202</v>
      </c>
      <c r="U2" s="68" t="s">
        <v>238</v>
      </c>
      <c r="V2" s="68" t="s">
        <v>212</v>
      </c>
      <c r="W2" s="68" t="s">
        <v>239</v>
      </c>
      <c r="X2" s="28"/>
      <c r="Y2" s="68" t="s">
        <v>95</v>
      </c>
      <c r="Z2" s="68" t="s">
        <v>216</v>
      </c>
      <c r="AA2" s="28"/>
    </row>
    <row r="3" spans="1:29" ht="32.4">
      <c r="A3" s="28"/>
      <c r="S3" s="28"/>
      <c r="T3" s="42" t="s">
        <v>225</v>
      </c>
      <c r="U3" s="51">
        <f>'Scoring Engine'!$C$46</f>
        <v>79.5</v>
      </c>
      <c r="V3" s="51">
        <f>'Scoring Engine'!$D$46</f>
        <v>53.092500000000001</v>
      </c>
      <c r="W3" s="51">
        <f>'Scoring Engine'!$E$46</f>
        <v>58.582500000000003</v>
      </c>
      <c r="X3" s="28"/>
      <c r="Y3" s="42" t="str">
        <f>IFERROR(INDEX('Scoring Engine'!$C$13:$C$36,MATCH(1,'Scoring Engine'!$R$13:$R$36,0)),"")</f>
        <v>Greenhouse-gas emissions</v>
      </c>
      <c r="Z3" s="51">
        <f>IFERROR(INDEX('Scoring Engine'!$Q$13:$Q$36,MATCH(1,'Scoring Engine'!$R$13:$R$36,0)),0)</f>
        <v>12.24</v>
      </c>
      <c r="AA3" s="28"/>
    </row>
    <row r="4" spans="1:29" ht="32.4">
      <c r="A4" s="28"/>
      <c r="B4" s="125" t="s">
        <v>268</v>
      </c>
      <c r="C4" s="125"/>
      <c r="D4" s="125"/>
      <c r="E4" s="125" t="s">
        <v>269</v>
      </c>
      <c r="F4" s="125"/>
      <c r="G4" s="125"/>
      <c r="H4" s="125" t="s">
        <v>270</v>
      </c>
      <c r="I4" s="125"/>
      <c r="J4" s="125"/>
      <c r="K4" s="125" t="s">
        <v>271</v>
      </c>
      <c r="L4" s="125"/>
      <c r="M4" s="125"/>
      <c r="N4" s="125" t="s">
        <v>272</v>
      </c>
      <c r="O4" s="125"/>
      <c r="P4" s="125"/>
      <c r="Q4" s="28"/>
      <c r="S4" s="28"/>
      <c r="T4" s="42" t="s">
        <v>226</v>
      </c>
      <c r="U4" s="51">
        <f>'Scoring Engine'!$C$47</f>
        <v>70</v>
      </c>
      <c r="V4" s="51">
        <f>'Scoring Engine'!$D$47</f>
        <v>45.394999999999996</v>
      </c>
      <c r="W4" s="51">
        <f>'Scoring Engine'!$E$47</f>
        <v>51.455000000000005</v>
      </c>
      <c r="X4" s="28"/>
      <c r="Y4" s="42" t="str">
        <f>IFERROR(INDEX('Scoring Engine'!$C$13:$C$36,MATCH(2,'Scoring Engine'!$R$13:$R$36,0)),"")</f>
        <v>Employee health and safety</v>
      </c>
      <c r="Z4" s="51">
        <f>IFERROR(INDEX('Scoring Engine'!$Q$13:$Q$36,MATCH(2,'Scoring Engine'!$R$13:$R$36,0)),0)</f>
        <v>12.24</v>
      </c>
      <c r="AA4" s="28"/>
    </row>
    <row r="5" spans="1:29" ht="32.4">
      <c r="A5" s="28"/>
      <c r="B5" s="121" t="str">
        <f>'Company Assessment'!$D$5</f>
        <v>Northstar Metals Ltd.</v>
      </c>
      <c r="C5" s="121"/>
      <c r="D5" s="121"/>
      <c r="E5" s="121" t="str">
        <f>'Company Assessment'!$H$5</f>
        <v>Mining</v>
      </c>
      <c r="F5" s="121"/>
      <c r="G5" s="121"/>
      <c r="H5" s="126">
        <f>'Scoring Engine'!$C$55</f>
        <v>76.23875000000001</v>
      </c>
      <c r="I5" s="126"/>
      <c r="J5" s="126"/>
      <c r="K5" s="127" t="str">
        <f>'Scoring Engine'!$C$56</f>
        <v>High</v>
      </c>
      <c r="L5" s="127"/>
      <c r="M5" s="127"/>
      <c r="N5" s="121" t="str">
        <f>INDEX('Scoring Engine'!$B$46:$B$48,MATCH(MAX('Scoring Engine'!$E$46:$E$48),'Scoring Engine'!$E$46:$E$48,0))</f>
        <v>Environmental</v>
      </c>
      <c r="O5" s="121"/>
      <c r="P5" s="121"/>
      <c r="Q5" s="28"/>
      <c r="S5" s="28"/>
      <c r="T5" s="42" t="s">
        <v>227</v>
      </c>
      <c r="U5" s="51">
        <f>'Scoring Engine'!$C$48</f>
        <v>63.5</v>
      </c>
      <c r="V5" s="51">
        <f>'Scoring Engine'!$D$48</f>
        <v>36.025000000000006</v>
      </c>
      <c r="W5" s="51">
        <f>'Scoring Engine'!$E$48</f>
        <v>40.555</v>
      </c>
      <c r="X5" s="28"/>
      <c r="Y5" s="42" t="str">
        <f>IFERROR(INDEX('Scoring Engine'!$C$13:$C$36,MATCH(3,'Scoring Engine'!$R$13:$R$36,0)),"")</f>
        <v>Water usage and water stress</v>
      </c>
      <c r="Z5" s="51">
        <f>IFERROR(INDEX('Scoring Engine'!$Q$13:$Q$36,MATCH(3,'Scoring Engine'!$R$13:$R$36,0)),0)</f>
        <v>10.559999999999999</v>
      </c>
      <c r="AA5" s="28"/>
    </row>
    <row r="6" spans="1:29" ht="32.4">
      <c r="A6" s="28"/>
      <c r="B6" s="121"/>
      <c r="C6" s="121"/>
      <c r="D6" s="121"/>
      <c r="E6" s="121"/>
      <c r="F6" s="121"/>
      <c r="G6" s="121"/>
      <c r="H6" s="126"/>
      <c r="I6" s="126"/>
      <c r="J6" s="126"/>
      <c r="K6" s="127"/>
      <c r="L6" s="127"/>
      <c r="M6" s="127"/>
      <c r="N6" s="121"/>
      <c r="O6" s="121"/>
      <c r="P6" s="121"/>
      <c r="Q6" s="28"/>
      <c r="S6" s="28"/>
      <c r="T6" s="28"/>
      <c r="U6" s="28"/>
      <c r="V6" s="28"/>
      <c r="W6" s="28"/>
      <c r="X6" s="28"/>
      <c r="Y6" s="42" t="str">
        <f>IFERROR(INDEX('Scoring Engine'!$C$13:$C$36,MATCH(4,'Scoring Engine'!$R$13:$R$36,0)),"")</f>
        <v>Supply-chain labour practices</v>
      </c>
      <c r="Z6" s="51">
        <f>IFERROR(INDEX('Scoring Engine'!$Q$13:$Q$36,MATCH(4,'Scoring Engine'!$R$13:$R$36,0)),0)</f>
        <v>9.9750000000000014</v>
      </c>
      <c r="AA6" s="28"/>
    </row>
    <row r="7" spans="1:29" ht="32.4">
      <c r="A7" s="28"/>
      <c r="B7" s="121"/>
      <c r="C7" s="121"/>
      <c r="D7" s="121"/>
      <c r="E7" s="121"/>
      <c r="F7" s="121"/>
      <c r="G7" s="121"/>
      <c r="H7" s="126"/>
      <c r="I7" s="126"/>
      <c r="J7" s="126"/>
      <c r="K7" s="127"/>
      <c r="L7" s="127"/>
      <c r="M7" s="127"/>
      <c r="N7" s="121"/>
      <c r="O7" s="121"/>
      <c r="P7" s="121"/>
      <c r="Q7" s="28"/>
      <c r="S7" s="28"/>
      <c r="T7" s="28"/>
      <c r="U7" s="28"/>
      <c r="V7" s="28"/>
      <c r="W7" s="28"/>
      <c r="X7" s="28"/>
      <c r="Y7" s="42" t="str">
        <f>IFERROR(INDEX('Scoring Engine'!$C$13:$C$36,MATCH(5,'Scoring Engine'!$R$13:$R$36,0)),"")</f>
        <v>Community and Indigenous relations</v>
      </c>
      <c r="Z7" s="51">
        <f>IFERROR(INDEX('Scoring Engine'!$Q$13:$Q$36,MATCH(5,'Scoring Engine'!$R$13:$R$36,0)),0)</f>
        <v>8.52</v>
      </c>
      <c r="AA7" s="28"/>
    </row>
    <row r="8" spans="1:29" ht="33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S8" s="28"/>
      <c r="T8" s="68" t="s">
        <v>248</v>
      </c>
      <c r="U8" s="68" t="s">
        <v>252</v>
      </c>
      <c r="V8" s="28"/>
      <c r="W8" s="68" t="s">
        <v>95</v>
      </c>
      <c r="X8" s="68" t="s">
        <v>215</v>
      </c>
      <c r="Y8" s="28"/>
      <c r="Z8" s="28"/>
      <c r="AA8" s="28"/>
      <c r="AB8" s="28"/>
      <c r="AC8" s="28"/>
    </row>
    <row r="9" spans="1:29" ht="32.4">
      <c r="A9" s="28"/>
      <c r="B9" s="119" t="s">
        <v>273</v>
      </c>
      <c r="C9" s="119"/>
      <c r="D9" s="119"/>
      <c r="E9" s="119" t="s">
        <v>274</v>
      </c>
      <c r="F9" s="119"/>
      <c r="G9" s="119"/>
      <c r="H9" s="119" t="s">
        <v>275</v>
      </c>
      <c r="I9" s="119"/>
      <c r="J9" s="119"/>
      <c r="K9" s="119" t="s">
        <v>276</v>
      </c>
      <c r="L9" s="119"/>
      <c r="M9" s="119"/>
      <c r="N9" s="119" t="s">
        <v>277</v>
      </c>
      <c r="O9" s="119"/>
      <c r="P9" s="119"/>
      <c r="Q9" s="28"/>
      <c r="S9" s="28"/>
      <c r="T9" s="42" t="str">
        <f>'Scoring Engine'!$F$52</f>
        <v>Base Case</v>
      </c>
      <c r="U9" s="51">
        <f>'Scoring Engine'!$J$52</f>
        <v>76.23875000000001</v>
      </c>
      <c r="V9" s="28"/>
      <c r="W9" s="42" t="str">
        <f>IFERROR(INDEX('Scoring Engine'!$C$13:$C$36,MATCH(1,'Scoring Engine'!$Y$13:$Y$36,0)),"")</f>
        <v>Water usage and water stress</v>
      </c>
      <c r="X9" s="51">
        <f>IFERROR(INDEX('Scoring Engine'!$P$13:$P$36,MATCH(1,'Scoring Engine'!$Y$13:$Y$36,0)),0)</f>
        <v>70</v>
      </c>
      <c r="Y9" s="28"/>
      <c r="Z9" s="28"/>
      <c r="AA9" s="28"/>
      <c r="AB9" s="28"/>
      <c r="AC9" s="28"/>
    </row>
    <row r="10" spans="1:29" ht="22.35" customHeight="1">
      <c r="A10" s="28"/>
      <c r="B10" s="123">
        <f>'Scoring Engine'!$C$49</f>
        <v>73.45</v>
      </c>
      <c r="C10" s="123"/>
      <c r="D10" s="123"/>
      <c r="E10" s="123">
        <f>'Scoring Engine'!$D$49</f>
        <v>47.369749999999996</v>
      </c>
      <c r="F10" s="123"/>
      <c r="G10" s="123"/>
      <c r="H10" s="124">
        <f>'Scoring Engine'!$C$54</f>
        <v>23.4</v>
      </c>
      <c r="I10" s="124"/>
      <c r="J10" s="124"/>
      <c r="K10" s="120">
        <f>'Scoring Engine'!$G$49</f>
        <v>63.54</v>
      </c>
      <c r="L10" s="120"/>
      <c r="M10" s="120"/>
      <c r="N10" s="121" t="str">
        <f>INDEX('Scoring Engine'!$C$13:$C$36,MATCH(1,'Scoring Engine'!$R$13:$R$36,0))</f>
        <v>Greenhouse-gas emissions</v>
      </c>
      <c r="O10" s="121"/>
      <c r="P10" s="121"/>
      <c r="Q10" s="28"/>
      <c r="S10" s="28"/>
      <c r="T10" s="42" t="str">
        <f>'Scoring Engine'!$F$53</f>
        <v>Adverse Scenario</v>
      </c>
      <c r="U10" s="51">
        <f>'Scoring Engine'!$J$53</f>
        <v>86.804952499999999</v>
      </c>
      <c r="V10" s="28"/>
      <c r="W10" s="42" t="str">
        <f>IFERROR(INDEX('Scoring Engine'!$C$13:$C$36,MATCH(2,'Scoring Engine'!$Y$13:$Y$36,0)),"")</f>
        <v>Greenhouse-gas emissions</v>
      </c>
      <c r="X10" s="51">
        <f>IFERROR(INDEX('Scoring Engine'!$P$13:$P$36,MATCH(2,'Scoring Engine'!$Y$13:$Y$36,0)),0)</f>
        <v>50</v>
      </c>
      <c r="Y10" s="68" t="s">
        <v>278</v>
      </c>
      <c r="Z10" s="68" t="s">
        <v>202</v>
      </c>
      <c r="AA10" s="68" t="s">
        <v>279</v>
      </c>
      <c r="AB10" s="68" t="s">
        <v>280</v>
      </c>
      <c r="AC10" s="28"/>
    </row>
    <row r="11" spans="1:29" ht="32.4">
      <c r="A11" s="28"/>
      <c r="B11" s="123"/>
      <c r="C11" s="123"/>
      <c r="D11" s="123"/>
      <c r="E11" s="123"/>
      <c r="F11" s="123"/>
      <c r="G11" s="123"/>
      <c r="H11" s="124"/>
      <c r="I11" s="124"/>
      <c r="J11" s="124"/>
      <c r="K11" s="120"/>
      <c r="L11" s="120"/>
      <c r="M11" s="120"/>
      <c r="N11" s="121"/>
      <c r="O11" s="121"/>
      <c r="P11" s="121"/>
      <c r="Q11" s="28"/>
      <c r="S11" s="28"/>
      <c r="T11" s="42" t="str">
        <f>'Scoring Engine'!$F$54</f>
        <v>Improved Management Scenario</v>
      </c>
      <c r="U11" s="51">
        <f>'Scoring Engine'!$J$54</f>
        <v>68.816712499999994</v>
      </c>
      <c r="V11" s="28"/>
      <c r="W11" s="42" t="str">
        <f>IFERROR(INDEX('Scoring Engine'!$C$13:$C$36,MATCH(3,'Scoring Engine'!$Y$13:$Y$36,0)),"")</f>
        <v>Employee health and safety</v>
      </c>
      <c r="X11" s="51">
        <f>IFERROR(INDEX('Scoring Engine'!$P$13:$P$36,MATCH(3,'Scoring Engine'!$Y$13:$Y$36,0)),0)</f>
        <v>50</v>
      </c>
      <c r="Y11" s="42" t="str">
        <f>'Scoring Engine'!$C$13</f>
        <v>Greenhouse-gas emissions</v>
      </c>
      <c r="Z11" s="42" t="str">
        <f>'Scoring Engine'!$B$13</f>
        <v>Environmental</v>
      </c>
      <c r="AA11" s="51">
        <f>MIN(100,MAX(0,'Scoring Engine'!$L$13+(MOD('Scoring Engine'!$T$13,5)-2)*0.7))</f>
        <v>49.3</v>
      </c>
      <c r="AB11" s="51">
        <f>MIN(100,MAX(0,'Scoring Engine'!$K$13+(MOD('Scoring Engine'!$T$13,7)-3)*0.5))</f>
        <v>99</v>
      </c>
      <c r="AC11" s="28"/>
    </row>
    <row r="12" spans="1:29" ht="32.4">
      <c r="A12" s="28"/>
      <c r="B12" s="123"/>
      <c r="C12" s="123"/>
      <c r="D12" s="123"/>
      <c r="E12" s="123"/>
      <c r="F12" s="123"/>
      <c r="G12" s="123"/>
      <c r="H12" s="124"/>
      <c r="I12" s="124"/>
      <c r="J12" s="124"/>
      <c r="K12" s="120"/>
      <c r="L12" s="120"/>
      <c r="M12" s="120"/>
      <c r="N12" s="121"/>
      <c r="O12" s="121"/>
      <c r="P12" s="121"/>
      <c r="Q12" s="28"/>
      <c r="S12" s="28"/>
      <c r="T12" s="42" t="str">
        <f>'Scoring Engine'!$F$55</f>
        <v>Custom Scenario</v>
      </c>
      <c r="U12" s="51">
        <f>'Scoring Engine'!$J$55</f>
        <v>74.094924375000005</v>
      </c>
      <c r="V12" s="28"/>
      <c r="W12" s="42" t="str">
        <f>IFERROR(INDEX('Scoring Engine'!$C$13:$C$36,MATCH(4,'Scoring Engine'!$Y$13:$Y$36,0)),"")</f>
        <v>Community and Indigenous relations</v>
      </c>
      <c r="X12" s="51">
        <f>IFERROR(INDEX('Scoring Engine'!$P$13:$P$36,MATCH(4,'Scoring Engine'!$Y$13:$Y$36,0)),0)</f>
        <v>50</v>
      </c>
      <c r="Y12" s="42" t="str">
        <f>'Scoring Engine'!$C$14</f>
        <v>Energy consumption</v>
      </c>
      <c r="Z12" s="42" t="str">
        <f>'Scoring Engine'!$B$14</f>
        <v>Environmental</v>
      </c>
      <c r="AA12" s="51">
        <f>MIN(100,MAX(0,'Scoring Engine'!$L$14+(MOD('Scoring Engine'!$T$14,5)-2)*0.7))</f>
        <v>75</v>
      </c>
      <c r="AB12" s="51">
        <f>MIN(100,MAX(0,'Scoring Engine'!$K$14+(MOD('Scoring Engine'!$T$14,7)-3)*0.5))</f>
        <v>74.5</v>
      </c>
      <c r="AC12" s="28"/>
    </row>
    <row r="13" spans="1:29" ht="32.4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S13" s="28"/>
      <c r="T13" s="28"/>
      <c r="U13" s="28"/>
      <c r="V13" s="28"/>
      <c r="W13" s="42" t="str">
        <f>IFERROR(INDEX('Scoring Engine'!$C$13:$C$36,MATCH(5,'Scoring Engine'!$Y$13:$Y$36,0)),"")</f>
        <v>Biodiversity and land-use impact</v>
      </c>
      <c r="X13" s="51">
        <f>IFERROR(INDEX('Scoring Engine'!$P$13:$P$36,MATCH(5,'Scoring Engine'!$Y$13:$Y$36,0)),0)</f>
        <v>45</v>
      </c>
      <c r="Y13" s="42" t="str">
        <f>'Scoring Engine'!$C$15</f>
        <v>Climate-transition exposure</v>
      </c>
      <c r="Z13" s="42" t="str">
        <f>'Scoring Engine'!$B$15</f>
        <v>Environmental</v>
      </c>
      <c r="AA13" s="51">
        <f>MIN(100,MAX(0,'Scoring Engine'!$L$15+(MOD('Scoring Engine'!$T$15,5)-2)*0.7))</f>
        <v>50.7</v>
      </c>
      <c r="AB13" s="51">
        <f>MIN(100,MAX(0,'Scoring Engine'!$K$15+(MOD('Scoring Engine'!$T$15,7)-3)*0.5))</f>
        <v>75</v>
      </c>
      <c r="AC13" s="28"/>
    </row>
    <row r="14" spans="1:29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S14" s="28"/>
      <c r="T14" s="28"/>
      <c r="U14" s="28"/>
      <c r="V14" s="28"/>
      <c r="W14" s="43"/>
      <c r="X14" s="43"/>
      <c r="Y14" s="42" t="str">
        <f>'Scoring Engine'!$C$16</f>
        <v>Physical climate risk</v>
      </c>
      <c r="Z14" s="42" t="str">
        <f>'Scoring Engine'!$B$16</f>
        <v>Environmental</v>
      </c>
      <c r="AA14" s="51">
        <f>MIN(100,MAX(0,'Scoring Engine'!$L$16+(MOD('Scoring Engine'!$T$16,5)-2)*0.7))</f>
        <v>51.4</v>
      </c>
      <c r="AB14" s="51">
        <f>MIN(100,MAX(0,'Scoring Engine'!$K$16+(MOD('Scoring Engine'!$T$16,7)-3)*0.5))</f>
        <v>50.5</v>
      </c>
      <c r="AC14" s="28"/>
    </row>
    <row r="15" spans="1:29" ht="32.4">
      <c r="A15" s="28"/>
      <c r="B15" s="16"/>
      <c r="C15" s="16"/>
      <c r="D15" s="16"/>
      <c r="E15" s="16"/>
      <c r="F15" s="16"/>
      <c r="G15" s="16"/>
      <c r="H15" s="16"/>
      <c r="I15" s="28"/>
      <c r="J15" s="16"/>
      <c r="K15" s="16"/>
      <c r="L15" s="16"/>
      <c r="M15" s="16"/>
      <c r="N15" s="16"/>
      <c r="O15" s="16"/>
      <c r="P15" s="16"/>
      <c r="Q15" s="28"/>
      <c r="V15" s="28"/>
      <c r="W15" s="28"/>
      <c r="X15" s="28"/>
      <c r="Y15" s="42" t="str">
        <f>'Scoring Engine'!$C$17</f>
        <v>Water usage and water stress</v>
      </c>
      <c r="Z15" s="42" t="str">
        <f>'Scoring Engine'!$B$17</f>
        <v>Environmental</v>
      </c>
      <c r="AA15" s="51">
        <f>MIN(100,MAX(0,'Scoring Engine'!$L$17+(MOD('Scoring Engine'!$T$17,5)-2)*0.7))</f>
        <v>28.6</v>
      </c>
      <c r="AB15" s="51">
        <f>MIN(100,MAX(0,'Scoring Engine'!$K$17+(MOD('Scoring Engine'!$T$17,7)-3)*0.5))</f>
        <v>100</v>
      </c>
      <c r="AC15" s="28"/>
    </row>
    <row r="16" spans="1:29" ht="32.4">
      <c r="A16" s="28"/>
      <c r="B16" s="16"/>
      <c r="C16" s="16"/>
      <c r="D16" s="16"/>
      <c r="E16" s="16"/>
      <c r="F16" s="16"/>
      <c r="G16" s="16"/>
      <c r="H16" s="16"/>
      <c r="I16" s="28"/>
      <c r="J16" s="16"/>
      <c r="K16" s="16"/>
      <c r="L16" s="16"/>
      <c r="M16" s="16"/>
      <c r="N16" s="16"/>
      <c r="O16" s="16"/>
      <c r="P16" s="16"/>
      <c r="Q16" s="28"/>
      <c r="X16" s="28"/>
      <c r="Y16" s="42" t="str">
        <f>'Scoring Engine'!$C$18</f>
        <v>Waste and hazardous materials</v>
      </c>
      <c r="Z16" s="42" t="str">
        <f>'Scoring Engine'!$B$18</f>
        <v>Environmental</v>
      </c>
      <c r="AA16" s="51">
        <f>MIN(100,MAX(0,'Scoring Engine'!$L$18+(MOD('Scoring Engine'!$T$18,5)-2)*0.7))</f>
        <v>49.3</v>
      </c>
      <c r="AB16" s="51">
        <f>MIN(100,MAX(0,'Scoring Engine'!$K$18+(MOD('Scoring Engine'!$T$18,7)-3)*0.5))</f>
        <v>76.5</v>
      </c>
      <c r="AC16" s="28"/>
    </row>
    <row r="17" spans="1:29" ht="32.4">
      <c r="A17" s="28"/>
      <c r="B17" s="16"/>
      <c r="C17" s="16"/>
      <c r="D17" s="16"/>
      <c r="E17" s="16"/>
      <c r="F17" s="16"/>
      <c r="G17" s="16"/>
      <c r="H17" s="16"/>
      <c r="I17" s="28"/>
      <c r="J17" s="16"/>
      <c r="K17" s="16"/>
      <c r="L17" s="16"/>
      <c r="M17" s="16"/>
      <c r="N17" s="16"/>
      <c r="O17" s="16"/>
      <c r="P17" s="16"/>
      <c r="Q17" s="28"/>
      <c r="X17" s="28"/>
      <c r="Y17" s="42" t="str">
        <f>'Scoring Engine'!$C$19</f>
        <v>Biodiversity and land-use impact</v>
      </c>
      <c r="Z17" s="42" t="str">
        <f>'Scoring Engine'!$B$19</f>
        <v>Environmental</v>
      </c>
      <c r="AA17" s="51">
        <f>MIN(100,MAX(0,'Scoring Engine'!$L$19+(MOD('Scoring Engine'!$T$19,5)-2)*0.7))</f>
        <v>30</v>
      </c>
      <c r="AB17" s="51">
        <f>MIN(100,MAX(0,'Scoring Engine'!$K$19+(MOD('Scoring Engine'!$T$19,7)-3)*0.5))</f>
        <v>73.5</v>
      </c>
      <c r="AC17" s="28"/>
    </row>
    <row r="18" spans="1:29" ht="48.6">
      <c r="A18" s="28"/>
      <c r="B18" s="16"/>
      <c r="C18" s="16"/>
      <c r="D18" s="16"/>
      <c r="E18" s="16"/>
      <c r="F18" s="16"/>
      <c r="G18" s="16"/>
      <c r="H18" s="16"/>
      <c r="I18" s="28"/>
      <c r="J18" s="16"/>
      <c r="K18" s="16"/>
      <c r="L18" s="16"/>
      <c r="M18" s="16"/>
      <c r="N18" s="16"/>
      <c r="O18" s="16"/>
      <c r="P18" s="16"/>
      <c r="Q18" s="28"/>
      <c r="X18" s="28"/>
      <c r="Y18" s="42" t="str">
        <f>'Scoring Engine'!$C$20</f>
        <v>Environmental compliance and pollution risk</v>
      </c>
      <c r="Z18" s="42" t="str">
        <f>'Scoring Engine'!$B$20</f>
        <v>Environmental</v>
      </c>
      <c r="AA18" s="51">
        <f>MIN(100,MAX(0,'Scoring Engine'!$L$20+(MOD('Scoring Engine'!$T$20,5)-2)*0.7))</f>
        <v>50.7</v>
      </c>
      <c r="AB18" s="51">
        <f>MIN(100,MAX(0,'Scoring Engine'!$K$20+(MOD('Scoring Engine'!$T$20,7)-3)*0.5))</f>
        <v>74</v>
      </c>
      <c r="AC18" s="28"/>
    </row>
    <row r="19" spans="1:29" ht="32.4">
      <c r="A19" s="28"/>
      <c r="B19" s="16"/>
      <c r="C19" s="16"/>
      <c r="D19" s="16"/>
      <c r="E19" s="16"/>
      <c r="F19" s="16"/>
      <c r="G19" s="16"/>
      <c r="H19" s="16"/>
      <c r="I19" s="28"/>
      <c r="J19" s="16"/>
      <c r="K19" s="16"/>
      <c r="L19" s="16"/>
      <c r="M19" s="16"/>
      <c r="N19" s="16"/>
      <c r="O19" s="16"/>
      <c r="P19" s="16"/>
      <c r="Q19" s="28"/>
      <c r="X19" s="28"/>
      <c r="Y19" s="42" t="str">
        <f>'Scoring Engine'!$C$21</f>
        <v>Employee health and safety</v>
      </c>
      <c r="Z19" s="42" t="str">
        <f>'Scoring Engine'!$B$21</f>
        <v>Social</v>
      </c>
      <c r="AA19" s="51">
        <f>MIN(100,MAX(0,'Scoring Engine'!$L$21+(MOD('Scoring Engine'!$T$21,5)-2)*0.7))</f>
        <v>51.4</v>
      </c>
      <c r="AB19" s="51">
        <f>MIN(100,MAX(0,'Scoring Engine'!$K$21+(MOD('Scoring Engine'!$T$21,7)-3)*0.5))</f>
        <v>99.5</v>
      </c>
      <c r="AC19" s="28"/>
    </row>
    <row r="20" spans="1:29">
      <c r="A20" s="28"/>
      <c r="B20" s="16"/>
      <c r="C20" s="16"/>
      <c r="D20" s="16"/>
      <c r="E20" s="16"/>
      <c r="F20" s="16"/>
      <c r="G20" s="16"/>
      <c r="H20" s="16"/>
      <c r="I20" s="28"/>
      <c r="J20" s="16"/>
      <c r="K20" s="16"/>
      <c r="L20" s="16"/>
      <c r="M20" s="16"/>
      <c r="N20" s="16"/>
      <c r="O20" s="16"/>
      <c r="P20" s="16"/>
      <c r="Q20" s="28"/>
      <c r="X20" s="28"/>
      <c r="Y20" s="42" t="str">
        <f>'Scoring Engine'!$C$22</f>
        <v>Labour relations</v>
      </c>
      <c r="Z20" s="42" t="str">
        <f>'Scoring Engine'!$B$22</f>
        <v>Social</v>
      </c>
      <c r="AA20" s="51">
        <f>MIN(100,MAX(0,'Scoring Engine'!$L$22+(MOD('Scoring Engine'!$T$22,5)-2)*0.7))</f>
        <v>73.599999999999994</v>
      </c>
      <c r="AB20" s="51">
        <f>MIN(100,MAX(0,'Scoring Engine'!$K$22+(MOD('Scoring Engine'!$T$22,7)-3)*0.5))</f>
        <v>50</v>
      </c>
      <c r="AC20" s="28"/>
    </row>
    <row r="21" spans="1:29" ht="32.4">
      <c r="A21" s="28"/>
      <c r="B21" s="16"/>
      <c r="C21" s="16"/>
      <c r="D21" s="16"/>
      <c r="E21" s="16"/>
      <c r="F21" s="16"/>
      <c r="G21" s="16"/>
      <c r="H21" s="16"/>
      <c r="I21" s="28"/>
      <c r="J21" s="16"/>
      <c r="K21" s="16"/>
      <c r="L21" s="16"/>
      <c r="M21" s="16"/>
      <c r="N21" s="16"/>
      <c r="O21" s="16"/>
      <c r="P21" s="16"/>
      <c r="Q21" s="28"/>
      <c r="X21" s="28"/>
      <c r="Y21" s="42" t="str">
        <f>'Scoring Engine'!$C$23</f>
        <v>Employee turnover and retention</v>
      </c>
      <c r="Z21" s="42" t="str">
        <f>'Scoring Engine'!$B$23</f>
        <v>Social</v>
      </c>
      <c r="AA21" s="51">
        <f>MIN(100,MAX(0,'Scoring Engine'!$L$23+(MOD('Scoring Engine'!$T$23,5)-2)*0.7))</f>
        <v>49.3</v>
      </c>
      <c r="AB21" s="51">
        <f>MIN(100,MAX(0,'Scoring Engine'!$K$23+(MOD('Scoring Engine'!$T$23,7)-3)*0.5))</f>
        <v>50.5</v>
      </c>
      <c r="AC21" s="28"/>
    </row>
    <row r="22" spans="1:29" ht="32.4">
      <c r="A22" s="28"/>
      <c r="B22" s="16"/>
      <c r="C22" s="16"/>
      <c r="D22" s="16"/>
      <c r="E22" s="16"/>
      <c r="F22" s="16"/>
      <c r="G22" s="16"/>
      <c r="H22" s="16"/>
      <c r="I22" s="28"/>
      <c r="J22" s="16"/>
      <c r="K22" s="16"/>
      <c r="L22" s="16"/>
      <c r="M22" s="16"/>
      <c r="N22" s="16"/>
      <c r="O22" s="16"/>
      <c r="P22" s="16"/>
      <c r="Q22" s="28"/>
      <c r="X22" s="28"/>
      <c r="Y22" s="42" t="str">
        <f>'Scoring Engine'!$C$24</f>
        <v>Diversity, equity, and inclusion</v>
      </c>
      <c r="Z22" s="42" t="str">
        <f>'Scoring Engine'!$B$24</f>
        <v>Social</v>
      </c>
      <c r="AA22" s="51">
        <f>MIN(100,MAX(0,'Scoring Engine'!$L$24+(MOD('Scoring Engine'!$T$24,5)-2)*0.7))</f>
        <v>50</v>
      </c>
      <c r="AB22" s="51">
        <f>MIN(100,MAX(0,'Scoring Engine'!$K$24+(MOD('Scoring Engine'!$T$24,7)-3)*0.5))</f>
        <v>51</v>
      </c>
      <c r="AC22" s="28"/>
    </row>
    <row r="23" spans="1:29">
      <c r="A23" s="28"/>
      <c r="B23" s="16"/>
      <c r="C23" s="16"/>
      <c r="D23" s="16"/>
      <c r="E23" s="16"/>
      <c r="F23" s="16"/>
      <c r="G23" s="16"/>
      <c r="H23" s="16"/>
      <c r="I23" s="28"/>
      <c r="J23" s="16"/>
      <c r="K23" s="16"/>
      <c r="L23" s="16"/>
      <c r="M23" s="16"/>
      <c r="N23" s="16"/>
      <c r="O23" s="16"/>
      <c r="P23" s="16"/>
      <c r="Q23" s="28"/>
      <c r="X23" s="28"/>
      <c r="Y23" s="42" t="str">
        <f>'Scoring Engine'!$C$25</f>
        <v>Human rights</v>
      </c>
      <c r="Z23" s="42" t="str">
        <f>'Scoring Engine'!$B$25</f>
        <v>Social</v>
      </c>
      <c r="AA23" s="51">
        <f>MIN(100,MAX(0,'Scoring Engine'!$L$25+(MOD('Scoring Engine'!$T$25,5)-2)*0.7))</f>
        <v>50.7</v>
      </c>
      <c r="AB23" s="51">
        <f>MIN(100,MAX(0,'Scoring Engine'!$K$25+(MOD('Scoring Engine'!$T$25,7)-3)*0.5))</f>
        <v>76.5</v>
      </c>
      <c r="AC23" s="28"/>
    </row>
    <row r="24" spans="1:29" ht="32.4">
      <c r="A24" s="28"/>
      <c r="B24" s="16"/>
      <c r="C24" s="16"/>
      <c r="D24" s="16"/>
      <c r="E24" s="16"/>
      <c r="F24" s="16"/>
      <c r="G24" s="16"/>
      <c r="H24" s="16"/>
      <c r="I24" s="28"/>
      <c r="J24" s="16"/>
      <c r="K24" s="16"/>
      <c r="L24" s="16"/>
      <c r="M24" s="16"/>
      <c r="N24" s="16"/>
      <c r="O24" s="16"/>
      <c r="P24" s="16"/>
      <c r="Q24" s="28"/>
      <c r="X24" s="28"/>
      <c r="Y24" s="42" t="str">
        <f>'Scoring Engine'!$C$26</f>
        <v>Supply-chain labour practices</v>
      </c>
      <c r="Z24" s="42" t="str">
        <f>'Scoring Engine'!$B$26</f>
        <v>Social</v>
      </c>
      <c r="AA24" s="51">
        <f>MIN(100,MAX(0,'Scoring Engine'!$L$26+(MOD('Scoring Engine'!$T$26,5)-2)*0.7))</f>
        <v>31.4</v>
      </c>
      <c r="AB24" s="51">
        <f>MIN(100,MAX(0,'Scoring Engine'!$K$26+(MOD('Scoring Engine'!$T$26,7)-3)*0.5))</f>
        <v>73.5</v>
      </c>
      <c r="AC24" s="28"/>
    </row>
    <row r="25" spans="1:29" ht="32.4">
      <c r="A25" s="28"/>
      <c r="B25" s="16"/>
      <c r="C25" s="16"/>
      <c r="D25" s="16"/>
      <c r="E25" s="16"/>
      <c r="F25" s="16"/>
      <c r="G25" s="16"/>
      <c r="H25" s="16"/>
      <c r="I25" s="28"/>
      <c r="J25" s="16"/>
      <c r="K25" s="16"/>
      <c r="L25" s="16"/>
      <c r="M25" s="16"/>
      <c r="N25" s="16"/>
      <c r="O25" s="16"/>
      <c r="P25" s="16"/>
      <c r="Q25" s="28"/>
      <c r="X25" s="28"/>
      <c r="Y25" s="42" t="str">
        <f>'Scoring Engine'!$C$27</f>
        <v>Community and Indigenous relations</v>
      </c>
      <c r="Z25" s="42" t="str">
        <f>'Scoring Engine'!$B$27</f>
        <v>Social</v>
      </c>
      <c r="AA25" s="51">
        <f>MIN(100,MAX(0,'Scoring Engine'!$L$27+(MOD('Scoring Engine'!$T$27,5)-2)*0.7))</f>
        <v>48.6</v>
      </c>
      <c r="AB25" s="51">
        <f>MIN(100,MAX(0,'Scoring Engine'!$K$27+(MOD('Scoring Engine'!$T$27,7)-3)*0.5))</f>
        <v>99</v>
      </c>
      <c r="AC25" s="28"/>
    </row>
    <row r="26" spans="1:29" ht="32.4">
      <c r="A26" s="28"/>
      <c r="B26" s="16"/>
      <c r="C26" s="16"/>
      <c r="D26" s="16"/>
      <c r="E26" s="16"/>
      <c r="F26" s="16"/>
      <c r="G26" s="16"/>
      <c r="H26" s="16"/>
      <c r="I26" s="28"/>
      <c r="J26" s="16"/>
      <c r="K26" s="16"/>
      <c r="L26" s="16"/>
      <c r="M26" s="16"/>
      <c r="N26" s="16"/>
      <c r="O26" s="16"/>
      <c r="P26" s="16"/>
      <c r="Q26" s="28"/>
      <c r="X26" s="28"/>
      <c r="Y26" s="42" t="str">
        <f>'Scoring Engine'!$C$28</f>
        <v>Product safety and customer welfare</v>
      </c>
      <c r="Z26" s="42" t="str">
        <f>'Scoring Engine'!$B$28</f>
        <v>Social</v>
      </c>
      <c r="AA26" s="51">
        <f>MIN(100,MAX(0,'Scoring Engine'!$L$28+(MOD('Scoring Engine'!$T$28,5)-2)*0.7))</f>
        <v>74.3</v>
      </c>
      <c r="AB26" s="51">
        <f>MIN(100,MAX(0,'Scoring Engine'!$K$28+(MOD('Scoring Engine'!$T$28,7)-3)*0.5))</f>
        <v>29.5</v>
      </c>
      <c r="AC26" s="28"/>
    </row>
    <row r="27" spans="1:29" ht="32.4">
      <c r="A27" s="28"/>
      <c r="B27" s="16"/>
      <c r="C27" s="16"/>
      <c r="D27" s="16"/>
      <c r="E27" s="16"/>
      <c r="F27" s="16"/>
      <c r="G27" s="16"/>
      <c r="H27" s="16"/>
      <c r="I27" s="28"/>
      <c r="J27" s="16"/>
      <c r="K27" s="16"/>
      <c r="L27" s="16"/>
      <c r="M27" s="16"/>
      <c r="N27" s="16"/>
      <c r="O27" s="16"/>
      <c r="P27" s="16"/>
      <c r="Q27" s="28"/>
      <c r="X27" s="28"/>
      <c r="Y27" s="42" t="str">
        <f>'Scoring Engine'!$C$29</f>
        <v>Board independence and oversight</v>
      </c>
      <c r="Z27" s="42" t="str">
        <f>'Scoring Engine'!$B$29</f>
        <v>Governance</v>
      </c>
      <c r="AA27" s="51">
        <f>MIN(100,MAX(0,'Scoring Engine'!$L$29+(MOD('Scoring Engine'!$T$29,5)-2)*0.7))</f>
        <v>75</v>
      </c>
      <c r="AB27" s="51">
        <f>MIN(100,MAX(0,'Scoring Engine'!$K$29+(MOD('Scoring Engine'!$T$29,7)-3)*0.5))</f>
        <v>50</v>
      </c>
      <c r="AC27" s="28"/>
    </row>
    <row r="28" spans="1:29" ht="48.6">
      <c r="A28" s="28"/>
      <c r="B28" s="16"/>
      <c r="C28" s="16"/>
      <c r="D28" s="16"/>
      <c r="E28" s="16"/>
      <c r="F28" s="16"/>
      <c r="G28" s="16"/>
      <c r="H28" s="16"/>
      <c r="I28" s="28"/>
      <c r="J28" s="16"/>
      <c r="K28" s="16"/>
      <c r="L28" s="16"/>
      <c r="M28" s="16"/>
      <c r="N28" s="16"/>
      <c r="O28" s="16"/>
      <c r="P28" s="16"/>
      <c r="Q28" s="28"/>
      <c r="X28" s="28"/>
      <c r="Y28" s="42" t="str">
        <f>'Scoring Engine'!$C$30</f>
        <v>Executive compensation alignment</v>
      </c>
      <c r="Z28" s="42" t="str">
        <f>'Scoring Engine'!$B$30</f>
        <v>Governance</v>
      </c>
      <c r="AA28" s="51">
        <f>MIN(100,MAX(0,'Scoring Engine'!$L$30+(MOD('Scoring Engine'!$T$30,5)-2)*0.7))</f>
        <v>50.7</v>
      </c>
      <c r="AB28" s="51">
        <f>MIN(100,MAX(0,'Scoring Engine'!$K$30+(MOD('Scoring Engine'!$T$30,7)-3)*0.5))</f>
        <v>50.5</v>
      </c>
      <c r="AC28" s="28"/>
    </row>
    <row r="29" spans="1:29" ht="32.4">
      <c r="A29" s="28"/>
      <c r="B29" s="16"/>
      <c r="C29" s="16"/>
      <c r="D29" s="16"/>
      <c r="E29" s="16"/>
      <c r="F29" s="16"/>
      <c r="G29" s="16"/>
      <c r="H29" s="16"/>
      <c r="I29" s="28"/>
      <c r="J29" s="16"/>
      <c r="K29" s="16"/>
      <c r="L29" s="16"/>
      <c r="M29" s="16"/>
      <c r="N29" s="16"/>
      <c r="O29" s="16"/>
      <c r="P29" s="16"/>
      <c r="Q29" s="28"/>
      <c r="X29" s="28"/>
      <c r="Y29" s="42" t="str">
        <f>'Scoring Engine'!$C$31</f>
        <v>Business ethics and anti-corruption</v>
      </c>
      <c r="Z29" s="42" t="str">
        <f>'Scoring Engine'!$B$31</f>
        <v>Governance</v>
      </c>
      <c r="AA29" s="51">
        <f>MIN(100,MAX(0,'Scoring Engine'!$L$31+(MOD('Scoring Engine'!$T$31,5)-2)*0.7))</f>
        <v>76.400000000000006</v>
      </c>
      <c r="AB29" s="51">
        <f>MIN(100,MAX(0,'Scoring Engine'!$K$31+(MOD('Scoring Engine'!$T$31,7)-3)*0.5))</f>
        <v>76</v>
      </c>
      <c r="AC29" s="28"/>
    </row>
    <row r="30" spans="1:29">
      <c r="A30" s="28"/>
      <c r="B30" s="16"/>
      <c r="C30" s="16"/>
      <c r="D30" s="16"/>
      <c r="E30" s="16"/>
      <c r="F30" s="16"/>
      <c r="G30" s="16"/>
      <c r="H30" s="16"/>
      <c r="I30" s="28"/>
      <c r="J30" s="16"/>
      <c r="K30" s="16"/>
      <c r="L30" s="16"/>
      <c r="M30" s="16"/>
      <c r="N30" s="16"/>
      <c r="O30" s="16"/>
      <c r="P30" s="16"/>
      <c r="Q30" s="28"/>
      <c r="X30" s="28"/>
      <c r="Y30" s="42" t="str">
        <f>'Scoring Engine'!$C$32</f>
        <v>Regulatory compliance</v>
      </c>
      <c r="Z30" s="42" t="str">
        <f>'Scoring Engine'!$B$32</f>
        <v>Governance</v>
      </c>
      <c r="AA30" s="51">
        <f>MIN(100,MAX(0,'Scoring Engine'!$L$32+(MOD('Scoring Engine'!$T$32,5)-2)*0.7))</f>
        <v>48.6</v>
      </c>
      <c r="AB30" s="51">
        <f>MIN(100,MAX(0,'Scoring Engine'!$K$32+(MOD('Scoring Engine'!$T$32,7)-3)*0.5))</f>
        <v>76.5</v>
      </c>
      <c r="AC30" s="28"/>
    </row>
    <row r="31" spans="1:29" ht="32.4">
      <c r="A31" s="28"/>
      <c r="B31" s="16"/>
      <c r="C31" s="16"/>
      <c r="D31" s="16"/>
      <c r="E31" s="16"/>
      <c r="F31" s="16"/>
      <c r="G31" s="16"/>
      <c r="H31" s="16"/>
      <c r="I31" s="28"/>
      <c r="J31" s="16"/>
      <c r="K31" s="16"/>
      <c r="L31" s="16"/>
      <c r="M31" s="16"/>
      <c r="N31" s="16"/>
      <c r="O31" s="16"/>
      <c r="P31" s="16"/>
      <c r="Q31" s="28"/>
      <c r="X31" s="28"/>
      <c r="Y31" s="42" t="str">
        <f>'Scoring Engine'!$C$33</f>
        <v>Risk-management systems</v>
      </c>
      <c r="Z31" s="42" t="str">
        <f>'Scoring Engine'!$B$33</f>
        <v>Governance</v>
      </c>
      <c r="AA31" s="51">
        <f>MIN(100,MAX(0,'Scoring Engine'!$L$33+(MOD('Scoring Engine'!$T$33,5)-2)*0.7))</f>
        <v>74.3</v>
      </c>
      <c r="AB31" s="51">
        <f>MIN(100,MAX(0,'Scoring Engine'!$K$33+(MOD('Scoring Engine'!$T$33,7)-3)*0.5))</f>
        <v>73.5</v>
      </c>
      <c r="AC31" s="28"/>
    </row>
    <row r="32" spans="1:29" ht="32.4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X32" s="28"/>
      <c r="Y32" s="42" t="str">
        <f>'Scoring Engine'!$C$34</f>
        <v>Data privacy and cybersecurity</v>
      </c>
      <c r="Z32" s="42" t="str">
        <f>'Scoring Engine'!$B$34</f>
        <v>Governance</v>
      </c>
      <c r="AA32" s="51">
        <f>MIN(100,MAX(0,'Scoring Engine'!$L$34+(MOD('Scoring Engine'!$T$34,5)-2)*0.7))</f>
        <v>50</v>
      </c>
      <c r="AB32" s="51">
        <f>MIN(100,MAX(0,'Scoring Engine'!$K$34+(MOD('Scoring Engine'!$T$34,7)-3)*0.5))</f>
        <v>49</v>
      </c>
      <c r="AC32" s="28"/>
    </row>
    <row r="33" spans="1:29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X33" s="28"/>
      <c r="Y33" s="42" t="str">
        <f>'Scoring Engine'!$C$35</f>
        <v>Tax transparency</v>
      </c>
      <c r="Z33" s="42" t="str">
        <f>'Scoring Engine'!$B$35</f>
        <v>Governance</v>
      </c>
      <c r="AA33" s="51">
        <f>MIN(100,MAX(0,'Scoring Engine'!$L$35+(MOD('Scoring Engine'!$T$35,5)-2)*0.7))</f>
        <v>50.7</v>
      </c>
      <c r="AB33" s="51">
        <f>MIN(100,MAX(0,'Scoring Engine'!$K$35+(MOD('Scoring Engine'!$T$35,7)-3)*0.5))</f>
        <v>49.5</v>
      </c>
      <c r="AC33" s="28"/>
    </row>
    <row r="34" spans="1:29" ht="32.4">
      <c r="A34" s="28"/>
      <c r="B34" s="16"/>
      <c r="C34" s="16"/>
      <c r="D34" s="16"/>
      <c r="E34" s="16"/>
      <c r="F34" s="16"/>
      <c r="G34" s="16"/>
      <c r="H34" s="16"/>
      <c r="I34" s="28"/>
      <c r="J34" s="16"/>
      <c r="K34" s="16"/>
      <c r="L34" s="16"/>
      <c r="M34" s="16"/>
      <c r="N34" s="16"/>
      <c r="O34" s="16"/>
      <c r="P34" s="16"/>
      <c r="Q34" s="28"/>
      <c r="X34" s="28"/>
      <c r="Y34" s="42" t="str">
        <f>'Scoring Engine'!$C$36</f>
        <v>ESG reporting and disclosure quality</v>
      </c>
      <c r="Z34" s="42" t="str">
        <f>'Scoring Engine'!$B$36</f>
        <v>Governance</v>
      </c>
      <c r="AA34" s="51">
        <f>MIN(100,MAX(0,'Scoring Engine'!$L$36+(MOD('Scoring Engine'!$T$36,5)-2)*0.7))</f>
        <v>51.4</v>
      </c>
      <c r="AB34" s="51">
        <f>MIN(100,MAX(0,'Scoring Engine'!$K$36+(MOD('Scoring Engine'!$T$36,7)-3)*0.5))</f>
        <v>75</v>
      </c>
      <c r="AC34" s="28"/>
    </row>
    <row r="35" spans="1:29">
      <c r="A35" s="28"/>
      <c r="B35" s="16"/>
      <c r="C35" s="16"/>
      <c r="D35" s="16"/>
      <c r="E35" s="16"/>
      <c r="F35" s="16"/>
      <c r="G35" s="16"/>
      <c r="H35" s="16"/>
      <c r="I35" s="28"/>
      <c r="J35" s="16"/>
      <c r="K35" s="16"/>
      <c r="L35" s="16"/>
      <c r="M35" s="16"/>
      <c r="N35" s="16"/>
      <c r="O35" s="16"/>
      <c r="P35" s="16"/>
      <c r="Q35" s="28"/>
      <c r="X35" s="28"/>
      <c r="Y35" s="28"/>
      <c r="Z35" s="28"/>
      <c r="AA35" s="28"/>
      <c r="AB35" s="28"/>
      <c r="AC35" s="28"/>
    </row>
    <row r="36" spans="1:29">
      <c r="A36" s="28"/>
      <c r="B36" s="16"/>
      <c r="C36" s="16"/>
      <c r="D36" s="16"/>
      <c r="E36" s="16"/>
      <c r="F36" s="16"/>
      <c r="G36" s="16"/>
      <c r="H36" s="16"/>
      <c r="I36" s="28"/>
      <c r="J36" s="16"/>
      <c r="K36" s="16"/>
      <c r="L36" s="16"/>
      <c r="M36" s="16"/>
      <c r="N36" s="16"/>
      <c r="O36" s="16"/>
      <c r="P36" s="16"/>
      <c r="Q36" s="28"/>
      <c r="X36" s="28"/>
      <c r="Y36" s="28"/>
      <c r="Z36" s="28"/>
      <c r="AA36" s="28"/>
      <c r="AB36" s="28"/>
      <c r="AC36" s="28"/>
    </row>
    <row r="37" spans="1:29">
      <c r="A37" s="28"/>
      <c r="B37" s="16"/>
      <c r="C37" s="16"/>
      <c r="D37" s="16"/>
      <c r="E37" s="16"/>
      <c r="F37" s="16"/>
      <c r="G37" s="16"/>
      <c r="H37" s="16"/>
      <c r="I37" s="28"/>
      <c r="J37" s="16"/>
      <c r="K37" s="16"/>
      <c r="L37" s="16"/>
      <c r="M37" s="16"/>
      <c r="N37" s="16"/>
      <c r="O37" s="16"/>
      <c r="P37" s="16"/>
      <c r="Q37" s="28"/>
      <c r="X37" s="28"/>
      <c r="Y37" s="28"/>
      <c r="Z37" s="28"/>
      <c r="AA37" s="28"/>
      <c r="AB37" s="28"/>
      <c r="AC37" s="28"/>
    </row>
    <row r="38" spans="1:29">
      <c r="A38" s="28"/>
      <c r="B38" s="16"/>
      <c r="C38" s="16"/>
      <c r="D38" s="16"/>
      <c r="E38" s="16"/>
      <c r="F38" s="16"/>
      <c r="G38" s="16"/>
      <c r="H38" s="16"/>
      <c r="I38" s="28"/>
      <c r="J38" s="16"/>
      <c r="K38" s="16"/>
      <c r="L38" s="16"/>
      <c r="M38" s="16"/>
      <c r="N38" s="16"/>
      <c r="O38" s="16"/>
      <c r="P38" s="16"/>
      <c r="Q38" s="28"/>
    </row>
    <row r="39" spans="1:29">
      <c r="A39" s="28"/>
      <c r="B39" s="16"/>
      <c r="C39" s="16"/>
      <c r="D39" s="16"/>
      <c r="E39" s="16"/>
      <c r="F39" s="16"/>
      <c r="G39" s="16"/>
      <c r="H39" s="16"/>
      <c r="I39" s="28"/>
      <c r="J39" s="16"/>
      <c r="K39" s="16"/>
      <c r="L39" s="16"/>
      <c r="M39" s="16"/>
      <c r="N39" s="16"/>
      <c r="O39" s="16"/>
      <c r="P39" s="16"/>
      <c r="Q39" s="28"/>
    </row>
    <row r="40" spans="1:29">
      <c r="A40" s="28"/>
      <c r="B40" s="16"/>
      <c r="C40" s="16"/>
      <c r="D40" s="16"/>
      <c r="E40" s="16"/>
      <c r="F40" s="16"/>
      <c r="G40" s="16"/>
      <c r="H40" s="16"/>
      <c r="I40" s="28"/>
      <c r="J40" s="16"/>
      <c r="K40" s="16"/>
      <c r="L40" s="16"/>
      <c r="M40" s="16"/>
      <c r="N40" s="16"/>
      <c r="O40" s="16"/>
      <c r="P40" s="16"/>
      <c r="Q40" s="28"/>
    </row>
    <row r="41" spans="1:29">
      <c r="A41" s="28"/>
      <c r="B41" s="16"/>
      <c r="C41" s="16"/>
      <c r="D41" s="16"/>
      <c r="E41" s="16"/>
      <c r="F41" s="16"/>
      <c r="G41" s="16"/>
      <c r="H41" s="16"/>
      <c r="I41" s="28"/>
      <c r="J41" s="16"/>
      <c r="K41" s="16"/>
      <c r="L41" s="16"/>
      <c r="M41" s="16"/>
      <c r="N41" s="16"/>
      <c r="O41" s="16"/>
      <c r="P41" s="16"/>
      <c r="Q41" s="28"/>
    </row>
    <row r="42" spans="1:29">
      <c r="A42" s="28"/>
      <c r="B42" s="16"/>
      <c r="C42" s="16"/>
      <c r="D42" s="16"/>
      <c r="E42" s="16"/>
      <c r="F42" s="16"/>
      <c r="G42" s="16"/>
      <c r="H42" s="16"/>
      <c r="I42" s="28"/>
      <c r="J42" s="16"/>
      <c r="K42" s="16"/>
      <c r="L42" s="16"/>
      <c r="M42" s="16"/>
      <c r="N42" s="16"/>
      <c r="O42" s="16"/>
      <c r="P42" s="16"/>
      <c r="Q42" s="28"/>
    </row>
    <row r="43" spans="1:29">
      <c r="A43" s="28"/>
      <c r="B43" s="16"/>
      <c r="C43" s="16"/>
      <c r="D43" s="16"/>
      <c r="E43" s="16"/>
      <c r="F43" s="16"/>
      <c r="G43" s="16"/>
      <c r="H43" s="16"/>
      <c r="I43" s="28"/>
      <c r="J43" s="16"/>
      <c r="K43" s="16"/>
      <c r="L43" s="16"/>
      <c r="M43" s="16"/>
      <c r="N43" s="16"/>
      <c r="O43" s="16"/>
      <c r="P43" s="16"/>
      <c r="Q43" s="28"/>
    </row>
    <row r="44" spans="1:29">
      <c r="A44" s="28"/>
      <c r="B44" s="16"/>
      <c r="C44" s="16"/>
      <c r="D44" s="16"/>
      <c r="E44" s="16"/>
      <c r="F44" s="16"/>
      <c r="G44" s="16"/>
      <c r="H44" s="16"/>
      <c r="I44" s="28"/>
      <c r="J44" s="16"/>
      <c r="K44" s="16"/>
      <c r="L44" s="16"/>
      <c r="M44" s="16"/>
      <c r="N44" s="16"/>
      <c r="O44" s="16"/>
      <c r="P44" s="16"/>
      <c r="Q44" s="28"/>
    </row>
    <row r="45" spans="1:29">
      <c r="A45" s="28"/>
      <c r="B45" s="16"/>
      <c r="C45" s="16"/>
      <c r="D45" s="16"/>
      <c r="E45" s="16"/>
      <c r="F45" s="16"/>
      <c r="G45" s="16"/>
      <c r="H45" s="16"/>
      <c r="I45" s="28"/>
      <c r="J45" s="16"/>
      <c r="K45" s="16"/>
      <c r="L45" s="16"/>
      <c r="M45" s="16"/>
      <c r="N45" s="16"/>
      <c r="O45" s="16"/>
      <c r="P45" s="16"/>
      <c r="Q45" s="28"/>
    </row>
    <row r="46" spans="1:29">
      <c r="A46" s="28"/>
      <c r="B46" s="16"/>
      <c r="C46" s="16"/>
      <c r="D46" s="16"/>
      <c r="E46" s="16"/>
      <c r="F46" s="16"/>
      <c r="G46" s="16"/>
      <c r="H46" s="16"/>
      <c r="I46" s="28"/>
      <c r="J46" s="16"/>
      <c r="K46" s="16"/>
      <c r="L46" s="16"/>
      <c r="M46" s="16"/>
      <c r="N46" s="16"/>
      <c r="O46" s="16"/>
      <c r="P46" s="16"/>
      <c r="Q46" s="28"/>
    </row>
    <row r="47" spans="1:29">
      <c r="A47" s="28"/>
      <c r="B47" s="16"/>
      <c r="C47" s="16"/>
      <c r="D47" s="16"/>
      <c r="E47" s="16"/>
      <c r="F47" s="16"/>
      <c r="G47" s="16"/>
      <c r="H47" s="16"/>
      <c r="I47" s="28"/>
      <c r="J47" s="16"/>
      <c r="K47" s="16"/>
      <c r="L47" s="16"/>
      <c r="M47" s="16"/>
      <c r="N47" s="16"/>
      <c r="O47" s="16"/>
      <c r="P47" s="16"/>
      <c r="Q47" s="28"/>
    </row>
    <row r="48" spans="1:29">
      <c r="A48" s="28"/>
      <c r="B48" s="16"/>
      <c r="C48" s="16"/>
      <c r="D48" s="16"/>
      <c r="E48" s="16"/>
      <c r="F48" s="16"/>
      <c r="G48" s="16"/>
      <c r="H48" s="16"/>
      <c r="I48" s="28"/>
      <c r="J48" s="16"/>
      <c r="K48" s="16"/>
      <c r="L48" s="16"/>
      <c r="M48" s="16"/>
      <c r="N48" s="16"/>
      <c r="O48" s="16"/>
      <c r="P48" s="16"/>
      <c r="Q48" s="28"/>
    </row>
    <row r="49" spans="1:17">
      <c r="A49" s="28"/>
      <c r="B49" s="16"/>
      <c r="C49" s="16"/>
      <c r="D49" s="16"/>
      <c r="E49" s="16"/>
      <c r="F49" s="16"/>
      <c r="G49" s="16"/>
      <c r="H49" s="16"/>
      <c r="I49" s="28"/>
      <c r="J49" s="16"/>
      <c r="K49" s="16"/>
      <c r="L49" s="16"/>
      <c r="M49" s="16"/>
      <c r="N49" s="16"/>
      <c r="O49" s="16"/>
      <c r="P49" s="16"/>
      <c r="Q49" s="28"/>
    </row>
    <row r="50" spans="1:17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1:17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28.8" customHeight="1">
      <c r="A52" s="28"/>
      <c r="B52" s="85" t="s">
        <v>281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28"/>
    </row>
    <row r="53" spans="1:17">
      <c r="A53" s="28"/>
      <c r="B53" s="117" t="str">
        <f>IF('Company Assessment'!$D$5="","The company",'Company Assessment'!$D$5)&amp;" has a "&amp;'Scoring Engine'!$C$56&amp;" overall ESG risk score of "&amp;TEXT('Scoring Engine'!$C$55,"0.0")&amp;". "&amp;$N$5&amp;" risk is the most material pillar, driven primarily by "&amp;$Y$3&amp;" and "&amp;$Y$4&amp;". "&amp;IF('Scoring Engine'!$C$49-'Scoring Engine'!$D$49&gt;=15,"Existing management controls materially reduce inherent risk, but significant residual exposure remains. ","Management controls provide only a limited reduction in inherent risk. ")&amp;IF('Scoring Engine'!$C$54&gt;=20,"Controversy and incident risk is a significant additional driver. ",IF('Scoring Engine'!$C$54&gt;=10,"Controversies create a moderate upward adjustment. ","Controversy risk is not a major driver of the current score. "))&amp;IF('Scoring Engine'!$G$49&lt;60,"Limited data quality creates meaningful uncertainty.",IF('Scoring Engine'!$G$49&lt;80,"Data quality creates some uncertainty that should be resolved.","Data quality is comparatively strong and adds limited uncertainty."))</f>
        <v>Northstar Metals Ltd. has a High overall ESG risk score of 76.2. Environmental risk is the most material pillar, driven primarily by Greenhouse-gas emissions and Employee health and safety. Existing management controls materially reduce inherent risk, but significant residual exposure remains. Controversy and incident risk is a significant additional driver. Data quality creates some uncertainty that should be resolved.</v>
      </c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28"/>
    </row>
    <row r="54" spans="1:17">
      <c r="A54" s="28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28"/>
    </row>
    <row r="55" spans="1:17">
      <c r="A55" s="28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28"/>
    </row>
    <row r="56" spans="1:17">
      <c r="A56" s="28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28"/>
    </row>
    <row r="57" spans="1:17">
      <c r="A57" s="28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28"/>
    </row>
    <row r="58" spans="1:17" ht="30" customHeight="1">
      <c r="A58" s="28"/>
      <c r="B58" s="85" t="s">
        <v>282</v>
      </c>
      <c r="C58" s="85"/>
      <c r="D58" s="85"/>
      <c r="E58" s="85"/>
      <c r="F58" s="85"/>
      <c r="G58" s="85"/>
      <c r="H58" s="85"/>
      <c r="I58" s="85"/>
      <c r="J58" s="16"/>
      <c r="K58" s="16"/>
      <c r="L58" s="16"/>
      <c r="M58" s="16"/>
      <c r="N58" s="16"/>
      <c r="O58" s="16"/>
      <c r="P58" s="16"/>
      <c r="Q58" s="28"/>
    </row>
    <row r="59" spans="1:17" ht="43.8" customHeight="1">
      <c r="A59" s="28"/>
      <c r="B59" s="30" t="s">
        <v>95</v>
      </c>
      <c r="C59" s="30" t="s">
        <v>202</v>
      </c>
      <c r="D59" s="30" t="s">
        <v>280</v>
      </c>
      <c r="E59" s="30" t="s">
        <v>279</v>
      </c>
      <c r="F59" s="30" t="s">
        <v>212</v>
      </c>
      <c r="G59" s="30" t="s">
        <v>98</v>
      </c>
      <c r="H59" s="30" t="s">
        <v>239</v>
      </c>
      <c r="I59" s="30" t="s">
        <v>217</v>
      </c>
      <c r="J59" s="16"/>
      <c r="K59" s="16"/>
      <c r="L59" s="16"/>
      <c r="M59" s="16"/>
      <c r="N59" s="16"/>
      <c r="O59" s="16"/>
      <c r="P59" s="16"/>
      <c r="Q59" s="28"/>
    </row>
    <row r="60" spans="1:17" ht="19.2" customHeight="1">
      <c r="A60" s="28"/>
      <c r="B60" s="42" t="str">
        <f>'Scoring Engine'!$C$13</f>
        <v>Greenhouse-gas emissions</v>
      </c>
      <c r="C60" s="42" t="str">
        <f>'Scoring Engine'!$B$13</f>
        <v>Environmental</v>
      </c>
      <c r="D60" s="62">
        <f>'Scoring Engine'!$K$13</f>
        <v>100</v>
      </c>
      <c r="E60" s="62">
        <f>'Scoring Engine'!$L$13</f>
        <v>50</v>
      </c>
      <c r="F60" s="62">
        <f>'Scoring Engine'!$M$13</f>
        <v>65</v>
      </c>
      <c r="G60" s="62">
        <f>'Scoring Engine'!$I$13</f>
        <v>80</v>
      </c>
      <c r="H60" s="62">
        <f>'Scoring Engine'!$O$13</f>
        <v>68</v>
      </c>
      <c r="I60" s="63">
        <f>'Scoring Engine'!$R$13</f>
        <v>1</v>
      </c>
      <c r="J60" s="16"/>
      <c r="K60" s="16"/>
      <c r="L60" s="16"/>
      <c r="M60" s="16"/>
      <c r="N60" s="16"/>
      <c r="O60" s="16"/>
      <c r="P60" s="16"/>
      <c r="Q60" s="28"/>
    </row>
    <row r="61" spans="1:17" ht="19.2" customHeight="1">
      <c r="A61" s="28"/>
      <c r="B61" s="42" t="str">
        <f>'Scoring Engine'!$C$14</f>
        <v>Energy consumption</v>
      </c>
      <c r="C61" s="42" t="str">
        <f>'Scoring Engine'!$B$14</f>
        <v>Environmental</v>
      </c>
      <c r="D61" s="62">
        <f>'Scoring Engine'!$K$14</f>
        <v>75</v>
      </c>
      <c r="E61" s="62">
        <f>'Scoring Engine'!$L$14</f>
        <v>75</v>
      </c>
      <c r="F61" s="62">
        <f>'Scoring Engine'!$M$14</f>
        <v>35.625000000000007</v>
      </c>
      <c r="G61" s="62">
        <f>'Scoring Engine'!$I$14</f>
        <v>80</v>
      </c>
      <c r="H61" s="62">
        <f>'Scoring Engine'!$O$14</f>
        <v>38.625000000000007</v>
      </c>
      <c r="I61" s="63">
        <f>'Scoring Engine'!$R$14</f>
        <v>18</v>
      </c>
      <c r="J61" s="16"/>
      <c r="K61" s="16"/>
      <c r="L61" s="16"/>
      <c r="M61" s="16"/>
      <c r="N61" s="16"/>
      <c r="O61" s="16"/>
      <c r="P61" s="16"/>
      <c r="Q61" s="28"/>
    </row>
    <row r="62" spans="1:17" ht="19.2" customHeight="1">
      <c r="A62" s="28"/>
      <c r="B62" s="42" t="str">
        <f>'Scoring Engine'!$C$15</f>
        <v>Climate-transition exposure</v>
      </c>
      <c r="C62" s="42" t="str">
        <f>'Scoring Engine'!$B$15</f>
        <v>Environmental</v>
      </c>
      <c r="D62" s="62">
        <f>'Scoring Engine'!$K$15</f>
        <v>75</v>
      </c>
      <c r="E62" s="62">
        <f>'Scoring Engine'!$L$15</f>
        <v>50</v>
      </c>
      <c r="F62" s="62">
        <f>'Scoring Engine'!$M$15</f>
        <v>48.75</v>
      </c>
      <c r="G62" s="62">
        <f>'Scoring Engine'!$I$15</f>
        <v>60</v>
      </c>
      <c r="H62" s="62">
        <f>'Scoring Engine'!$O$15</f>
        <v>54.75</v>
      </c>
      <c r="I62" s="63">
        <f>'Scoring Engine'!$R$15</f>
        <v>6</v>
      </c>
      <c r="J62" s="16"/>
      <c r="K62" s="16"/>
      <c r="L62" s="16"/>
      <c r="M62" s="16"/>
      <c r="N62" s="16"/>
      <c r="O62" s="16"/>
      <c r="P62" s="16"/>
      <c r="Q62" s="28"/>
    </row>
    <row r="63" spans="1:17" ht="19.2" customHeight="1">
      <c r="A63" s="28"/>
      <c r="B63" s="42" t="str">
        <f>'Scoring Engine'!$C$16</f>
        <v>Physical climate risk</v>
      </c>
      <c r="C63" s="42" t="str">
        <f>'Scoring Engine'!$B$16</f>
        <v>Environmental</v>
      </c>
      <c r="D63" s="62">
        <f>'Scoring Engine'!$K$16</f>
        <v>50</v>
      </c>
      <c r="E63" s="62">
        <f>'Scoring Engine'!$L$16</f>
        <v>50</v>
      </c>
      <c r="F63" s="62">
        <f>'Scoring Engine'!$M$16</f>
        <v>32.5</v>
      </c>
      <c r="G63" s="62">
        <f>'Scoring Engine'!$I$16</f>
        <v>40</v>
      </c>
      <c r="H63" s="62">
        <f>'Scoring Engine'!$O$16</f>
        <v>41.5</v>
      </c>
      <c r="I63" s="63">
        <f>'Scoring Engine'!$R$16</f>
        <v>16</v>
      </c>
      <c r="J63" s="16"/>
      <c r="K63" s="16"/>
      <c r="L63" s="16"/>
      <c r="M63" s="16"/>
      <c r="N63" s="16"/>
      <c r="O63" s="16"/>
      <c r="P63" s="16"/>
      <c r="Q63" s="28"/>
    </row>
    <row r="64" spans="1:17" ht="19.2" customHeight="1">
      <c r="A64" s="28"/>
      <c r="B64" s="42" t="str">
        <f>'Scoring Engine'!$C$17</f>
        <v>Water usage and water stress</v>
      </c>
      <c r="C64" s="42" t="str">
        <f>'Scoring Engine'!$B$17</f>
        <v>Environmental</v>
      </c>
      <c r="D64" s="62">
        <f>'Scoring Engine'!$K$17</f>
        <v>100</v>
      </c>
      <c r="E64" s="62">
        <f>'Scoring Engine'!$L$17</f>
        <v>30</v>
      </c>
      <c r="F64" s="62">
        <f>'Scoring Engine'!$M$17</f>
        <v>79</v>
      </c>
      <c r="G64" s="62">
        <f>'Scoring Engine'!$I$17</f>
        <v>40</v>
      </c>
      <c r="H64" s="62">
        <f>'Scoring Engine'!$O$17</f>
        <v>88</v>
      </c>
      <c r="I64" s="63">
        <f>'Scoring Engine'!$R$17</f>
        <v>3</v>
      </c>
      <c r="J64" s="16"/>
      <c r="K64" s="16"/>
      <c r="L64" s="16"/>
      <c r="M64" s="16"/>
      <c r="N64" s="16"/>
      <c r="O64" s="16"/>
      <c r="P64" s="16"/>
      <c r="Q64" s="28"/>
    </row>
    <row r="65" spans="1:17" ht="19.2" customHeight="1">
      <c r="A65" s="28"/>
      <c r="B65" s="42" t="str">
        <f>'Scoring Engine'!$C$18</f>
        <v>Waste and hazardous materials</v>
      </c>
      <c r="C65" s="42" t="str">
        <f>'Scoring Engine'!$B$18</f>
        <v>Environmental</v>
      </c>
      <c r="D65" s="62">
        <f>'Scoring Engine'!$K$18</f>
        <v>75</v>
      </c>
      <c r="E65" s="62">
        <f>'Scoring Engine'!$L$18</f>
        <v>50</v>
      </c>
      <c r="F65" s="62">
        <f>'Scoring Engine'!$M$18</f>
        <v>48.75</v>
      </c>
      <c r="G65" s="62">
        <f>'Scoring Engine'!$I$18</f>
        <v>80</v>
      </c>
      <c r="H65" s="62">
        <f>'Scoring Engine'!$O$18</f>
        <v>51.75</v>
      </c>
      <c r="I65" s="63">
        <f>'Scoring Engine'!$R$18</f>
        <v>10</v>
      </c>
      <c r="J65" s="16"/>
      <c r="K65" s="16"/>
      <c r="L65" s="16"/>
      <c r="M65" s="16"/>
      <c r="N65" s="16"/>
      <c r="O65" s="16"/>
      <c r="P65" s="16"/>
      <c r="Q65" s="28"/>
    </row>
    <row r="66" spans="1:17" ht="19.2" customHeight="1">
      <c r="A66" s="28"/>
      <c r="B66" s="42" t="str">
        <f>'Scoring Engine'!$C$19</f>
        <v>Biodiversity and land-use impact</v>
      </c>
      <c r="C66" s="42" t="str">
        <f>'Scoring Engine'!$B$19</f>
        <v>Environmental</v>
      </c>
      <c r="D66" s="62">
        <f>'Scoring Engine'!$K$19</f>
        <v>75</v>
      </c>
      <c r="E66" s="62">
        <f>'Scoring Engine'!$L$19</f>
        <v>30</v>
      </c>
      <c r="F66" s="62">
        <f>'Scoring Engine'!$M$19</f>
        <v>59.25</v>
      </c>
      <c r="G66" s="62">
        <f>'Scoring Engine'!$I$19</f>
        <v>40</v>
      </c>
      <c r="H66" s="62">
        <f>'Scoring Engine'!$O$19</f>
        <v>68.25</v>
      </c>
      <c r="I66" s="63">
        <f>'Scoring Engine'!$R$19</f>
        <v>8</v>
      </c>
      <c r="J66" s="16"/>
      <c r="K66" s="16"/>
      <c r="L66" s="16"/>
      <c r="M66" s="16"/>
      <c r="N66" s="16"/>
      <c r="O66" s="16"/>
      <c r="P66" s="16"/>
      <c r="Q66" s="28"/>
    </row>
    <row r="67" spans="1:17" ht="19.2" customHeight="1">
      <c r="A67" s="28"/>
      <c r="B67" s="42" t="str">
        <f>'Scoring Engine'!$C$20</f>
        <v>Environmental compliance and pollution risk</v>
      </c>
      <c r="C67" s="42" t="str">
        <f>'Scoring Engine'!$B$20</f>
        <v>Environmental</v>
      </c>
      <c r="D67" s="62">
        <f>'Scoring Engine'!$K$20</f>
        <v>75</v>
      </c>
      <c r="E67" s="62">
        <f>'Scoring Engine'!$L$20</f>
        <v>50</v>
      </c>
      <c r="F67" s="62">
        <f>'Scoring Engine'!$M$20</f>
        <v>48.75</v>
      </c>
      <c r="G67" s="62">
        <f>'Scoring Engine'!$I$20</f>
        <v>80</v>
      </c>
      <c r="H67" s="62">
        <f>'Scoring Engine'!$O$20</f>
        <v>51.75</v>
      </c>
      <c r="I67" s="63">
        <f>'Scoring Engine'!$R$20</f>
        <v>15</v>
      </c>
      <c r="J67" s="16"/>
      <c r="K67" s="16"/>
      <c r="L67" s="16"/>
      <c r="M67" s="16"/>
      <c r="N67" s="16"/>
      <c r="O67" s="16"/>
      <c r="P67" s="16"/>
      <c r="Q67" s="28"/>
    </row>
    <row r="68" spans="1:17" ht="19.2" customHeight="1">
      <c r="A68" s="28"/>
      <c r="B68" s="42" t="str">
        <f>'Scoring Engine'!$C$21</f>
        <v>Employee health and safety</v>
      </c>
      <c r="C68" s="42" t="str">
        <f>'Scoring Engine'!$B$21</f>
        <v>Social</v>
      </c>
      <c r="D68" s="62">
        <f>'Scoring Engine'!$K$21</f>
        <v>100</v>
      </c>
      <c r="E68" s="62">
        <f>'Scoring Engine'!$L$21</f>
        <v>50</v>
      </c>
      <c r="F68" s="62">
        <f>'Scoring Engine'!$M$21</f>
        <v>65</v>
      </c>
      <c r="G68" s="62">
        <f>'Scoring Engine'!$I$21</f>
        <v>80</v>
      </c>
      <c r="H68" s="62">
        <f>'Scoring Engine'!$O$21</f>
        <v>68</v>
      </c>
      <c r="I68" s="63">
        <f>'Scoring Engine'!$R$21</f>
        <v>2</v>
      </c>
      <c r="J68" s="16"/>
      <c r="K68" s="16"/>
      <c r="L68" s="16"/>
      <c r="M68" s="16"/>
      <c r="N68" s="16"/>
      <c r="O68" s="16"/>
      <c r="P68" s="16"/>
      <c r="Q68" s="28"/>
    </row>
    <row r="69" spans="1:17" ht="19.2" customHeight="1">
      <c r="A69" s="28"/>
      <c r="B69" s="42" t="str">
        <f>'Scoring Engine'!$C$22</f>
        <v>Labour relations</v>
      </c>
      <c r="C69" s="42" t="str">
        <f>'Scoring Engine'!$B$22</f>
        <v>Social</v>
      </c>
      <c r="D69" s="62">
        <f>'Scoring Engine'!$K$22</f>
        <v>50</v>
      </c>
      <c r="E69" s="62">
        <f>'Scoring Engine'!$L$22</f>
        <v>75</v>
      </c>
      <c r="F69" s="62">
        <f>'Scoring Engine'!$M$22</f>
        <v>23.750000000000004</v>
      </c>
      <c r="G69" s="62">
        <f>'Scoring Engine'!$I$22</f>
        <v>80</v>
      </c>
      <c r="H69" s="62">
        <f>'Scoring Engine'!$O$22</f>
        <v>26.750000000000004</v>
      </c>
      <c r="I69" s="63">
        <f>'Scoring Engine'!$R$22</f>
        <v>22</v>
      </c>
      <c r="J69" s="16"/>
      <c r="K69" s="16"/>
      <c r="L69" s="16"/>
      <c r="M69" s="16"/>
      <c r="N69" s="16"/>
      <c r="O69" s="16"/>
      <c r="P69" s="16"/>
      <c r="Q69" s="28"/>
    </row>
    <row r="70" spans="1:17" ht="19.2" customHeight="1">
      <c r="A70" s="28"/>
      <c r="B70" s="42" t="str">
        <f>'Scoring Engine'!$C$23</f>
        <v>Employee turnover and retention</v>
      </c>
      <c r="C70" s="42" t="str">
        <f>'Scoring Engine'!$B$23</f>
        <v>Social</v>
      </c>
      <c r="D70" s="62">
        <f>'Scoring Engine'!$K$23</f>
        <v>50</v>
      </c>
      <c r="E70" s="62">
        <f>'Scoring Engine'!$L$23</f>
        <v>50</v>
      </c>
      <c r="F70" s="62">
        <f>'Scoring Engine'!$M$23</f>
        <v>32.5</v>
      </c>
      <c r="G70" s="62">
        <f>'Scoring Engine'!$I$23</f>
        <v>60</v>
      </c>
      <c r="H70" s="62">
        <f>'Scoring Engine'!$O$23</f>
        <v>38.5</v>
      </c>
      <c r="I70" s="63">
        <f>'Scoring Engine'!$R$23</f>
        <v>19</v>
      </c>
      <c r="J70" s="16"/>
      <c r="K70" s="16"/>
      <c r="L70" s="16"/>
      <c r="M70" s="16"/>
      <c r="N70" s="16"/>
      <c r="O70" s="16"/>
      <c r="P70" s="16"/>
      <c r="Q70" s="28"/>
    </row>
    <row r="71" spans="1:17" ht="19.2" customHeight="1">
      <c r="A71" s="28"/>
      <c r="B71" s="42" t="str">
        <f>'Scoring Engine'!$C$24</f>
        <v>Diversity, equity, and inclusion</v>
      </c>
      <c r="C71" s="42" t="str">
        <f>'Scoring Engine'!$B$24</f>
        <v>Social</v>
      </c>
      <c r="D71" s="62">
        <f>'Scoring Engine'!$K$24</f>
        <v>50</v>
      </c>
      <c r="E71" s="62">
        <f>'Scoring Engine'!$L$24</f>
        <v>50</v>
      </c>
      <c r="F71" s="62">
        <f>'Scoring Engine'!$M$24</f>
        <v>32.5</v>
      </c>
      <c r="G71" s="62">
        <f>'Scoring Engine'!$I$24</f>
        <v>60</v>
      </c>
      <c r="H71" s="62">
        <f>'Scoring Engine'!$O$24</f>
        <v>38.5</v>
      </c>
      <c r="I71" s="63">
        <f>'Scoring Engine'!$R$24</f>
        <v>20</v>
      </c>
      <c r="J71" s="16"/>
      <c r="K71" s="16"/>
      <c r="L71" s="16"/>
      <c r="M71" s="16"/>
      <c r="N71" s="16"/>
      <c r="O71" s="16"/>
      <c r="P71" s="16"/>
      <c r="Q71" s="28"/>
    </row>
    <row r="72" spans="1:17" ht="19.2" customHeight="1">
      <c r="A72" s="28"/>
      <c r="B72" s="42" t="str">
        <f>'Scoring Engine'!$C$25</f>
        <v>Human rights</v>
      </c>
      <c r="C72" s="42" t="str">
        <f>'Scoring Engine'!$B$25</f>
        <v>Social</v>
      </c>
      <c r="D72" s="62">
        <f>'Scoring Engine'!$K$25</f>
        <v>75</v>
      </c>
      <c r="E72" s="62">
        <f>'Scoring Engine'!$L$25</f>
        <v>50</v>
      </c>
      <c r="F72" s="62">
        <f>'Scoring Engine'!$M$25</f>
        <v>48.75</v>
      </c>
      <c r="G72" s="62">
        <f>'Scoring Engine'!$I$25</f>
        <v>40</v>
      </c>
      <c r="H72" s="62">
        <f>'Scoring Engine'!$O$25</f>
        <v>57.75</v>
      </c>
      <c r="I72" s="63">
        <f>'Scoring Engine'!$R$25</f>
        <v>7</v>
      </c>
      <c r="J72" s="16"/>
      <c r="K72" s="16"/>
      <c r="L72" s="16"/>
      <c r="M72" s="16"/>
      <c r="N72" s="16"/>
      <c r="O72" s="16"/>
      <c r="P72" s="16"/>
      <c r="Q72" s="28"/>
    </row>
    <row r="73" spans="1:17" ht="19.2" customHeight="1">
      <c r="A73" s="28"/>
      <c r="B73" s="42" t="str">
        <f>'Scoring Engine'!$C$26</f>
        <v>Supply-chain labour practices</v>
      </c>
      <c r="C73" s="42" t="str">
        <f>'Scoring Engine'!$B$26</f>
        <v>Social</v>
      </c>
      <c r="D73" s="62">
        <f>'Scoring Engine'!$K$26</f>
        <v>75</v>
      </c>
      <c r="E73" s="62">
        <f>'Scoring Engine'!$L$26</f>
        <v>30</v>
      </c>
      <c r="F73" s="62">
        <f>'Scoring Engine'!$M$26</f>
        <v>59.25</v>
      </c>
      <c r="G73" s="62">
        <f>'Scoring Engine'!$I$26</f>
        <v>20</v>
      </c>
      <c r="H73" s="62">
        <f>'Scoring Engine'!$O$26</f>
        <v>71.25</v>
      </c>
      <c r="I73" s="63">
        <f>'Scoring Engine'!$R$26</f>
        <v>4</v>
      </c>
      <c r="J73" s="16"/>
      <c r="K73" s="16"/>
      <c r="L73" s="16"/>
      <c r="M73" s="16"/>
      <c r="N73" s="16"/>
      <c r="O73" s="16"/>
      <c r="P73" s="16"/>
      <c r="Q73" s="28"/>
    </row>
    <row r="74" spans="1:17" ht="19.2" customHeight="1">
      <c r="A74" s="28"/>
      <c r="B74" s="42" t="str">
        <f>'Scoring Engine'!$C$27</f>
        <v>Community and Indigenous relations</v>
      </c>
      <c r="C74" s="42" t="str">
        <f>'Scoring Engine'!$B$27</f>
        <v>Social</v>
      </c>
      <c r="D74" s="62">
        <f>'Scoring Engine'!$K$27</f>
        <v>100</v>
      </c>
      <c r="E74" s="62">
        <f>'Scoring Engine'!$L$27</f>
        <v>50</v>
      </c>
      <c r="F74" s="62">
        <f>'Scoring Engine'!$M$27</f>
        <v>65</v>
      </c>
      <c r="G74" s="62">
        <f>'Scoring Engine'!$I$27</f>
        <v>60</v>
      </c>
      <c r="H74" s="62">
        <f>'Scoring Engine'!$O$27</f>
        <v>71</v>
      </c>
      <c r="I74" s="63">
        <f>'Scoring Engine'!$R$27</f>
        <v>5</v>
      </c>
      <c r="J74" s="16"/>
      <c r="K74" s="16"/>
      <c r="L74" s="16"/>
      <c r="M74" s="16"/>
      <c r="N74" s="16"/>
      <c r="O74" s="16"/>
      <c r="P74" s="16"/>
      <c r="Q74" s="28"/>
    </row>
    <row r="75" spans="1:17" ht="19.2" customHeight="1">
      <c r="A75" s="28"/>
      <c r="B75" s="42" t="str">
        <f>'Scoring Engine'!$C$28</f>
        <v>Product safety and customer welfare</v>
      </c>
      <c r="C75" s="42" t="str">
        <f>'Scoring Engine'!$B$28</f>
        <v>Social</v>
      </c>
      <c r="D75" s="62">
        <f>'Scoring Engine'!$K$28</f>
        <v>30</v>
      </c>
      <c r="E75" s="62">
        <f>'Scoring Engine'!$L$28</f>
        <v>75</v>
      </c>
      <c r="F75" s="62">
        <f>'Scoring Engine'!$M$28</f>
        <v>14.250000000000004</v>
      </c>
      <c r="G75" s="62">
        <f>'Scoring Engine'!$I$28</f>
        <v>80</v>
      </c>
      <c r="H75" s="62">
        <f>'Scoring Engine'!$O$28</f>
        <v>17.250000000000004</v>
      </c>
      <c r="I75" s="63">
        <f>'Scoring Engine'!$R$28</f>
        <v>24</v>
      </c>
      <c r="J75" s="16"/>
      <c r="K75" s="16"/>
      <c r="L75" s="16"/>
      <c r="M75" s="16"/>
      <c r="N75" s="16"/>
      <c r="O75" s="16"/>
      <c r="P75" s="16"/>
      <c r="Q75" s="28"/>
    </row>
    <row r="76" spans="1:17" ht="19.2" customHeight="1">
      <c r="A76" s="28"/>
      <c r="B76" s="42" t="str">
        <f>'Scoring Engine'!$C$29</f>
        <v>Board independence and oversight</v>
      </c>
      <c r="C76" s="42" t="str">
        <f>'Scoring Engine'!$B$29</f>
        <v>Governance</v>
      </c>
      <c r="D76" s="62">
        <f>'Scoring Engine'!$K$29</f>
        <v>50</v>
      </c>
      <c r="E76" s="62">
        <f>'Scoring Engine'!$L$29</f>
        <v>75</v>
      </c>
      <c r="F76" s="62">
        <f>'Scoring Engine'!$M$29</f>
        <v>23.750000000000004</v>
      </c>
      <c r="G76" s="62">
        <f>'Scoring Engine'!$I$29</f>
        <v>80</v>
      </c>
      <c r="H76" s="62">
        <f>'Scoring Engine'!$O$29</f>
        <v>26.750000000000004</v>
      </c>
      <c r="I76" s="63">
        <f>'Scoring Engine'!$R$29</f>
        <v>17</v>
      </c>
      <c r="J76" s="16"/>
      <c r="K76" s="16"/>
      <c r="L76" s="16"/>
      <c r="M76" s="16"/>
      <c r="N76" s="16"/>
      <c r="O76" s="16"/>
      <c r="P76" s="16"/>
      <c r="Q76" s="28"/>
    </row>
    <row r="77" spans="1:17" ht="19.2" customHeight="1">
      <c r="A77" s="28"/>
      <c r="B77" s="42" t="str">
        <f>'Scoring Engine'!$C$30</f>
        <v>Executive compensation alignment</v>
      </c>
      <c r="C77" s="42" t="str">
        <f>'Scoring Engine'!$B$30</f>
        <v>Governance</v>
      </c>
      <c r="D77" s="62">
        <f>'Scoring Engine'!$K$30</f>
        <v>50</v>
      </c>
      <c r="E77" s="62">
        <f>'Scoring Engine'!$L$30</f>
        <v>50</v>
      </c>
      <c r="F77" s="62">
        <f>'Scoring Engine'!$M$30</f>
        <v>32.5</v>
      </c>
      <c r="G77" s="62">
        <f>'Scoring Engine'!$I$30</f>
        <v>60</v>
      </c>
      <c r="H77" s="62">
        <f>'Scoring Engine'!$O$30</f>
        <v>38.5</v>
      </c>
      <c r="I77" s="63">
        <f>'Scoring Engine'!$R$30</f>
        <v>23</v>
      </c>
      <c r="J77" s="16"/>
      <c r="K77" s="16"/>
      <c r="L77" s="16"/>
      <c r="M77" s="16"/>
      <c r="N77" s="16"/>
      <c r="O77" s="16"/>
      <c r="P77" s="16"/>
      <c r="Q77" s="28"/>
    </row>
    <row r="78" spans="1:17" ht="19.2" customHeight="1">
      <c r="A78" s="28"/>
      <c r="B78" s="42" t="str">
        <f>'Scoring Engine'!$C$31</f>
        <v>Business ethics and anti-corruption</v>
      </c>
      <c r="C78" s="42" t="str">
        <f>'Scoring Engine'!$B$31</f>
        <v>Governance</v>
      </c>
      <c r="D78" s="62">
        <f>'Scoring Engine'!$K$31</f>
        <v>75</v>
      </c>
      <c r="E78" s="62">
        <f>'Scoring Engine'!$L$31</f>
        <v>75</v>
      </c>
      <c r="F78" s="62">
        <f>'Scoring Engine'!$M$31</f>
        <v>35.625000000000007</v>
      </c>
      <c r="G78" s="62">
        <f>'Scoring Engine'!$I$31</f>
        <v>80</v>
      </c>
      <c r="H78" s="62">
        <f>'Scoring Engine'!$O$31</f>
        <v>38.625000000000007</v>
      </c>
      <c r="I78" s="63">
        <f>'Scoring Engine'!$R$31</f>
        <v>12</v>
      </c>
      <c r="J78" s="16"/>
      <c r="K78" s="16"/>
      <c r="L78" s="16"/>
      <c r="M78" s="16"/>
      <c r="N78" s="16"/>
      <c r="O78" s="16"/>
      <c r="P78" s="16"/>
      <c r="Q78" s="28"/>
    </row>
    <row r="79" spans="1:17" ht="19.2" customHeight="1">
      <c r="A79" s="28"/>
      <c r="B79" s="42" t="str">
        <f>'Scoring Engine'!$C$32</f>
        <v>Regulatory compliance</v>
      </c>
      <c r="C79" s="42" t="str">
        <f>'Scoring Engine'!$B$32</f>
        <v>Governance</v>
      </c>
      <c r="D79" s="62">
        <f>'Scoring Engine'!$K$32</f>
        <v>75</v>
      </c>
      <c r="E79" s="62">
        <f>'Scoring Engine'!$L$32</f>
        <v>50</v>
      </c>
      <c r="F79" s="62">
        <f>'Scoring Engine'!$M$32</f>
        <v>48.75</v>
      </c>
      <c r="G79" s="62">
        <f>'Scoring Engine'!$I$32</f>
        <v>80</v>
      </c>
      <c r="H79" s="62">
        <f>'Scoring Engine'!$O$32</f>
        <v>51.75</v>
      </c>
      <c r="I79" s="63">
        <f>'Scoring Engine'!$R$32</f>
        <v>11</v>
      </c>
      <c r="J79" s="16"/>
      <c r="K79" s="16"/>
      <c r="L79" s="16"/>
      <c r="M79" s="16"/>
      <c r="N79" s="16"/>
      <c r="O79" s="16"/>
      <c r="P79" s="16"/>
      <c r="Q79" s="28"/>
    </row>
    <row r="80" spans="1:17" ht="19.2" customHeight="1">
      <c r="A80" s="28"/>
      <c r="B80" s="42" t="str">
        <f>'Scoring Engine'!$C$33</f>
        <v>Risk-management systems</v>
      </c>
      <c r="C80" s="42" t="str">
        <f>'Scoring Engine'!$B$33</f>
        <v>Governance</v>
      </c>
      <c r="D80" s="62">
        <f>'Scoring Engine'!$K$33</f>
        <v>75</v>
      </c>
      <c r="E80" s="62">
        <f>'Scoring Engine'!$L$33</f>
        <v>75</v>
      </c>
      <c r="F80" s="62">
        <f>'Scoring Engine'!$M$33</f>
        <v>35.625000000000007</v>
      </c>
      <c r="G80" s="62">
        <f>'Scoring Engine'!$I$33</f>
        <v>80</v>
      </c>
      <c r="H80" s="62">
        <f>'Scoring Engine'!$O$33</f>
        <v>38.625000000000007</v>
      </c>
      <c r="I80" s="63">
        <f>'Scoring Engine'!$R$33</f>
        <v>13</v>
      </c>
      <c r="J80" s="16"/>
      <c r="K80" s="16"/>
      <c r="L80" s="16"/>
      <c r="M80" s="16"/>
      <c r="N80" s="16"/>
      <c r="O80" s="16"/>
      <c r="P80" s="16"/>
      <c r="Q80" s="28"/>
    </row>
    <row r="81" spans="1:17" ht="19.2" customHeight="1">
      <c r="A81" s="28"/>
      <c r="B81" s="42" t="str">
        <f>'Scoring Engine'!$C$34</f>
        <v>Data privacy and cybersecurity</v>
      </c>
      <c r="C81" s="42" t="str">
        <f>'Scoring Engine'!$B$34</f>
        <v>Governance</v>
      </c>
      <c r="D81" s="62">
        <f>'Scoring Engine'!$K$34</f>
        <v>50</v>
      </c>
      <c r="E81" s="62">
        <f>'Scoring Engine'!$L$34</f>
        <v>50</v>
      </c>
      <c r="F81" s="62">
        <f>'Scoring Engine'!$M$34</f>
        <v>32.5</v>
      </c>
      <c r="G81" s="62">
        <f>'Scoring Engine'!$I$34</f>
        <v>60</v>
      </c>
      <c r="H81" s="62">
        <f>'Scoring Engine'!$O$34</f>
        <v>38.5</v>
      </c>
      <c r="I81" s="63">
        <f>'Scoring Engine'!$R$34</f>
        <v>14</v>
      </c>
      <c r="J81" s="16"/>
      <c r="K81" s="16"/>
      <c r="L81" s="16"/>
      <c r="M81" s="16"/>
      <c r="N81" s="16"/>
      <c r="O81" s="16"/>
      <c r="P81" s="16"/>
      <c r="Q81" s="28"/>
    </row>
    <row r="82" spans="1:17" ht="19.2" customHeight="1">
      <c r="A82" s="28"/>
      <c r="B82" s="42" t="str">
        <f>'Scoring Engine'!$C$35</f>
        <v>Tax transparency</v>
      </c>
      <c r="C82" s="42" t="str">
        <f>'Scoring Engine'!$B$35</f>
        <v>Governance</v>
      </c>
      <c r="D82" s="62">
        <f>'Scoring Engine'!$K$35</f>
        <v>50</v>
      </c>
      <c r="E82" s="62">
        <f>'Scoring Engine'!$L$35</f>
        <v>50</v>
      </c>
      <c r="F82" s="62">
        <f>'Scoring Engine'!$M$35</f>
        <v>32.5</v>
      </c>
      <c r="G82" s="62">
        <f>'Scoring Engine'!$I$35</f>
        <v>40</v>
      </c>
      <c r="H82" s="62">
        <f>'Scoring Engine'!$O$35</f>
        <v>41.5</v>
      </c>
      <c r="I82" s="63">
        <f>'Scoring Engine'!$R$35</f>
        <v>21</v>
      </c>
      <c r="J82" s="16"/>
      <c r="K82" s="16"/>
      <c r="L82" s="16"/>
      <c r="M82" s="16"/>
      <c r="N82" s="16"/>
      <c r="O82" s="16"/>
      <c r="P82" s="16"/>
      <c r="Q82" s="28"/>
    </row>
    <row r="83" spans="1:17" ht="19.2" customHeight="1">
      <c r="A83" s="28"/>
      <c r="B83" s="42" t="str">
        <f>'Scoring Engine'!$C$36</f>
        <v>ESG reporting and disclosure quality</v>
      </c>
      <c r="C83" s="42" t="str">
        <f>'Scoring Engine'!$B$36</f>
        <v>Governance</v>
      </c>
      <c r="D83" s="62">
        <f>'Scoring Engine'!$K$36</f>
        <v>75</v>
      </c>
      <c r="E83" s="62">
        <f>'Scoring Engine'!$L$36</f>
        <v>50</v>
      </c>
      <c r="F83" s="62">
        <f>'Scoring Engine'!$M$36</f>
        <v>48.75</v>
      </c>
      <c r="G83" s="62">
        <f>'Scoring Engine'!$I$36</f>
        <v>60</v>
      </c>
      <c r="H83" s="62">
        <f>'Scoring Engine'!$O$36</f>
        <v>54.75</v>
      </c>
      <c r="I83" s="63">
        <f>'Scoring Engine'!$R$36</f>
        <v>9</v>
      </c>
      <c r="J83" s="16"/>
      <c r="K83" s="16"/>
      <c r="L83" s="16"/>
      <c r="M83" s="16"/>
      <c r="N83" s="16"/>
      <c r="O83" s="16"/>
      <c r="P83" s="16"/>
      <c r="Q83" s="28"/>
    </row>
    <row r="84" spans="1:17" ht="24" customHeight="1">
      <c r="A84" s="28"/>
      <c r="B84" s="28"/>
      <c r="C84" s="28"/>
      <c r="D84" s="28"/>
      <c r="E84" s="28"/>
      <c r="F84" s="28"/>
      <c r="G84" s="28"/>
      <c r="H84" s="28"/>
      <c r="I84" s="28"/>
      <c r="J84" s="115" t="s">
        <v>283</v>
      </c>
      <c r="K84" s="115"/>
      <c r="L84" s="115"/>
      <c r="M84" s="115"/>
      <c r="N84" s="115"/>
      <c r="O84" s="115"/>
      <c r="P84" s="115"/>
      <c r="Q84" s="28"/>
    </row>
    <row r="85" spans="1:17" ht="31.8" customHeight="1">
      <c r="A85" s="28"/>
      <c r="J85" s="116" t="s">
        <v>284</v>
      </c>
      <c r="K85" s="116" t="s">
        <v>285</v>
      </c>
      <c r="L85" s="116"/>
      <c r="M85" s="116" t="s">
        <v>286</v>
      </c>
      <c r="N85" s="116" t="s">
        <v>287</v>
      </c>
      <c r="O85" s="116"/>
      <c r="P85" s="116"/>
      <c r="Q85" s="28"/>
    </row>
    <row r="86" spans="1:17" ht="33" customHeight="1">
      <c r="A86" s="28"/>
      <c r="J86" s="116" t="s">
        <v>288</v>
      </c>
      <c r="K86" s="116" t="s">
        <v>289</v>
      </c>
      <c r="L86" s="116"/>
      <c r="M86" s="116" t="s">
        <v>290</v>
      </c>
      <c r="N86" s="116" t="s">
        <v>291</v>
      </c>
      <c r="O86" s="116"/>
      <c r="P86" s="116"/>
      <c r="Q86" s="28"/>
    </row>
    <row r="87" spans="1:17" ht="28.8" customHeight="1">
      <c r="A87" s="28"/>
      <c r="B87" s="85" t="s">
        <v>292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28"/>
    </row>
    <row r="88" spans="1:17" ht="24" customHeight="1">
      <c r="A88" s="28"/>
      <c r="B88" s="118" t="str">
        <f>"1. "&amp;IFERROR(INDEX(FactorActions,MATCH($Y$3,FactorNames,0)),"Review and strengthen relevant controls.")&amp;" ("&amp;$Y$3&amp;")"</f>
        <v>1. Strengthen emissions targets, decarbonization plans and verified progress reporting. (Greenhouse-gas emissions)</v>
      </c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28"/>
    </row>
    <row r="89" spans="1:17" ht="24" customHeight="1">
      <c r="A89" s="28"/>
      <c r="B89" s="114" t="str">
        <f>"2. "&amp;IFERROR(INDEX(FactorActions,MATCH($Y$4,FactorNames,0)),"Review and strengthen relevant controls.")&amp;" ("&amp;$Y$4&amp;")"</f>
        <v>2. Expand critical-risk controls, leading indicators and independent safety reviews. (Employee health and safety)</v>
      </c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28"/>
    </row>
    <row r="90" spans="1:17" ht="24" customHeight="1">
      <c r="A90" s="28"/>
      <c r="B90" s="114" t="str">
        <f>"3. "&amp;IFERROR(INDEX(FactorActions,MATCH($Y$5,FactorNames,0)),"Review and strengthen relevant controls.")&amp;" ("&amp;$Y$5&amp;")"</f>
        <v>3. Set basin-specific water targets and expand water stewardship controls. (Water usage and water stress)</v>
      </c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28"/>
    </row>
    <row r="91" spans="1:17" ht="24" customHeight="1">
      <c r="A91" s="28"/>
      <c r="B91" s="114" t="str">
        <f>"4. "&amp;IFERROR(INDEX(FactorActions,MATCH($Y$6,FactorNames,0)),"Review and strengthen relevant controls.")&amp;" ("&amp;$Y$6&amp;")"</f>
        <v>4. Expand supplier due diligence, risk-based audits and corrective-action tracking. (Supply-chain labour practices)</v>
      </c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28"/>
    </row>
    <row r="92" spans="1:17" ht="24" customHeight="1">
      <c r="A92" s="28"/>
      <c r="B92" s="114" t="str">
        <f>"5. "&amp;IFERROR(INDEX(FactorActions,MATCH($Y$7,FactorNames,0)),"Review and strengthen relevant controls.")&amp;" ("&amp;$Y$7&amp;")"</f>
        <v>5. Strengthen early engagement, impact agreements and grievance resolution. (Community and Indigenous relations)</v>
      </c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28"/>
    </row>
    <row r="93" spans="1:17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</sheetData>
  <mergeCells count="38">
    <mergeCell ref="B1:C1"/>
    <mergeCell ref="B2:E2"/>
    <mergeCell ref="D1:I1"/>
    <mergeCell ref="B4:D4"/>
    <mergeCell ref="B5:D7"/>
    <mergeCell ref="E4:G4"/>
    <mergeCell ref="E5:G7"/>
    <mergeCell ref="H4:J4"/>
    <mergeCell ref="H5:J7"/>
    <mergeCell ref="B9:D9"/>
    <mergeCell ref="B10:D12"/>
    <mergeCell ref="E9:G9"/>
    <mergeCell ref="E10:G12"/>
    <mergeCell ref="H9:J9"/>
    <mergeCell ref="H10:J12"/>
    <mergeCell ref="K9:M9"/>
    <mergeCell ref="K10:M12"/>
    <mergeCell ref="N9:P9"/>
    <mergeCell ref="N10:P12"/>
    <mergeCell ref="T1:Z1"/>
    <mergeCell ref="K4:M4"/>
    <mergeCell ref="K5:M7"/>
    <mergeCell ref="N4:P4"/>
    <mergeCell ref="N5:P7"/>
    <mergeCell ref="B52:P52"/>
    <mergeCell ref="B53:P57"/>
    <mergeCell ref="B58:I58"/>
    <mergeCell ref="B88:P88"/>
    <mergeCell ref="B89:P89"/>
    <mergeCell ref="B90:P90"/>
    <mergeCell ref="B91:P91"/>
    <mergeCell ref="B92:P92"/>
    <mergeCell ref="J84:P84"/>
    <mergeCell ref="J85:L85"/>
    <mergeCell ref="M85:P85"/>
    <mergeCell ref="J86:L86"/>
    <mergeCell ref="M86:P86"/>
    <mergeCell ref="B87:P87"/>
  </mergeCells>
  <conditionalFormatting sqref="D60:D83">
    <cfRule type="colorScale" priority="1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E60:E83">
    <cfRule type="colorScale" priority="4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F60:F83">
    <cfRule type="colorScale" priority="2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G60:G83">
    <cfRule type="colorScale" priority="5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H60:H83">
    <cfRule type="colorScale" priority="3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H5:J7">
    <cfRule type="expression" dxfId="16" priority="7">
      <formula>$H$5&lt;20</formula>
    </cfRule>
    <cfRule type="expression" dxfId="15" priority="8">
      <formula>AND($H$5&gt;=20,$H$5&lt;40)</formula>
    </cfRule>
    <cfRule type="expression" dxfId="14" priority="9">
      <formula>AND($H$5&gt;=40,$H$5&lt;60)</formula>
    </cfRule>
    <cfRule type="expression" dxfId="13" priority="10">
      <formula>AND($H$5&gt;=60,$H$5&lt;80)</formula>
    </cfRule>
    <cfRule type="expression" dxfId="12" priority="11">
      <formula>$H$5&gt;=80</formula>
    </cfRule>
  </conditionalFormatting>
  <conditionalFormatting sqref="H10:J12">
    <cfRule type="expression" dxfId="11" priority="17">
      <formula>$H$10&lt;10</formula>
    </cfRule>
    <cfRule type="expression" dxfId="10" priority="18">
      <formula>AND($H$10&gt;=10,$H$10&lt;20)</formula>
    </cfRule>
    <cfRule type="expression" dxfId="9" priority="19">
      <formula>$H$10&gt;=20</formula>
    </cfRule>
  </conditionalFormatting>
  <conditionalFormatting sqref="I60:I83">
    <cfRule type="colorScale" priority="6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K5:M7">
    <cfRule type="expression" dxfId="8" priority="12">
      <formula>$K$5="Low"</formula>
    </cfRule>
    <cfRule type="expression" dxfId="7" priority="13">
      <formula>$K$5="Low to Moderate"</formula>
    </cfRule>
    <cfRule type="expression" dxfId="6" priority="14">
      <formula>$K$5="Moderate"</formula>
    </cfRule>
    <cfRule type="expression" dxfId="5" priority="15">
      <formula>$K$5="High"</formula>
    </cfRule>
    <cfRule type="expression" dxfId="4" priority="16">
      <formula>$K$5="Very High"</formula>
    </cfRule>
  </conditionalFormatting>
  <conditionalFormatting sqref="K10:M12">
    <cfRule type="expression" dxfId="3" priority="20">
      <formula>$K$10&lt;40</formula>
    </cfRule>
    <cfRule type="expression" dxfId="2" priority="21">
      <formula>AND($K$10&gt;=40,$K$10&lt;60)</formula>
    </cfRule>
    <cfRule type="expression" dxfId="1" priority="22">
      <formula>AND($K$10&gt;=60,$K$10&lt;80)</formula>
    </cfRule>
    <cfRule type="expression" dxfId="0" priority="23">
      <formula>$K$10&gt;=80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9"/>
  <sheetViews>
    <sheetView zoomScale="85" zoomScaleNormal="85" workbookViewId="0">
      <selection activeCell="E77" sqref="E77"/>
    </sheetView>
  </sheetViews>
  <sheetFormatPr defaultRowHeight="16.8"/>
  <cols>
    <col min="1" max="1" width="8.796875" style="2"/>
    <col min="2" max="2" width="33.8984375" style="27" customWidth="1"/>
    <col min="3" max="3" width="38" style="27" customWidth="1"/>
    <col min="4" max="4" width="46.69921875" style="27" customWidth="1"/>
    <col min="5" max="5" width="31.8984375" style="27" customWidth="1"/>
    <col min="6" max="6" width="45" style="27" customWidth="1"/>
    <col min="7" max="7" width="24" style="27" customWidth="1"/>
    <col min="8" max="8" width="24.5" style="27" customWidth="1"/>
    <col min="9" max="15" width="15" style="27" customWidth="1"/>
    <col min="16" max="16" width="20" style="27" customWidth="1"/>
    <col min="17" max="19" width="15" style="27" customWidth="1"/>
    <col min="20" max="20" width="30" style="27" customWidth="1"/>
    <col min="21" max="21" width="31" style="27" customWidth="1"/>
    <col min="22" max="16384" width="8.796875" style="2"/>
  </cols>
  <sheetData>
    <row r="1" spans="1:11" ht="67.2" customHeight="1">
      <c r="A1" s="6"/>
      <c r="B1" s="20"/>
      <c r="C1" s="83" t="s">
        <v>0</v>
      </c>
      <c r="D1" s="83"/>
      <c r="E1" s="28"/>
    </row>
    <row r="2" spans="1:11">
      <c r="A2" s="6"/>
      <c r="B2" s="39" t="s">
        <v>293</v>
      </c>
      <c r="C2" s="38"/>
      <c r="D2" s="39"/>
      <c r="E2" s="28"/>
    </row>
    <row r="3" spans="1:11">
      <c r="A3" s="6"/>
      <c r="B3" s="37"/>
      <c r="C3" s="37"/>
      <c r="D3" s="37"/>
      <c r="E3" s="28"/>
    </row>
    <row r="4" spans="1:11" ht="36" customHeight="1">
      <c r="A4" s="6"/>
      <c r="B4" s="81" t="s">
        <v>294</v>
      </c>
      <c r="C4" s="81"/>
      <c r="D4" s="81"/>
      <c r="E4" s="29"/>
      <c r="F4" s="31"/>
      <c r="G4" s="31"/>
      <c r="H4" s="31"/>
      <c r="I4" s="31"/>
      <c r="J4" s="31"/>
      <c r="K4" s="31"/>
    </row>
    <row r="5" spans="1:11" ht="85.2" customHeight="1">
      <c r="A5" s="6"/>
      <c r="B5" s="36" t="s">
        <v>6</v>
      </c>
      <c r="C5" s="82" t="s">
        <v>295</v>
      </c>
      <c r="D5" s="82"/>
      <c r="E5" s="28"/>
    </row>
    <row r="6" spans="1:11" ht="66" customHeight="1">
      <c r="A6" s="6"/>
      <c r="B6" s="36" t="s">
        <v>11</v>
      </c>
      <c r="C6" s="82" t="s">
        <v>296</v>
      </c>
      <c r="D6" s="82"/>
      <c r="E6" s="28"/>
    </row>
    <row r="7" spans="1:11" ht="77.400000000000006" customHeight="1">
      <c r="A7" s="6"/>
      <c r="B7" s="36" t="s">
        <v>16</v>
      </c>
      <c r="C7" s="82" t="s">
        <v>297</v>
      </c>
      <c r="D7" s="82"/>
      <c r="E7" s="28"/>
    </row>
    <row r="8" spans="1:11" ht="73.2" customHeight="1">
      <c r="A8" s="6"/>
      <c r="B8" s="36" t="s">
        <v>193</v>
      </c>
      <c r="C8" s="82" t="s">
        <v>298</v>
      </c>
      <c r="D8" s="82"/>
      <c r="E8" s="28"/>
    </row>
    <row r="9" spans="1:11" ht="63.6" customHeight="1">
      <c r="A9" s="6"/>
      <c r="B9" s="36" t="s">
        <v>299</v>
      </c>
      <c r="C9" s="82" t="s">
        <v>300</v>
      </c>
      <c r="D9" s="82"/>
      <c r="E9" s="28"/>
    </row>
    <row r="10" spans="1:11" ht="72.599999999999994" customHeight="1">
      <c r="A10" s="6"/>
      <c r="B10" s="36" t="s">
        <v>26</v>
      </c>
      <c r="C10" s="42" t="s">
        <v>301</v>
      </c>
      <c r="D10" s="42"/>
      <c r="E10" s="28"/>
    </row>
    <row r="11" spans="1:11" ht="64.2" customHeight="1">
      <c r="A11" s="6"/>
      <c r="B11" s="36" t="s">
        <v>302</v>
      </c>
      <c r="C11" s="42" t="s">
        <v>303</v>
      </c>
      <c r="D11" s="43"/>
      <c r="E11" s="28"/>
    </row>
    <row r="12" spans="1:11" ht="79.2" customHeight="1">
      <c r="A12" s="6"/>
      <c r="B12" s="36" t="s">
        <v>304</v>
      </c>
      <c r="C12" s="82" t="s">
        <v>305</v>
      </c>
      <c r="D12" s="82"/>
      <c r="E12" s="28"/>
    </row>
    <row r="13" spans="1:11" ht="80.400000000000006" customHeight="1">
      <c r="A13" s="6"/>
      <c r="B13" s="36" t="s">
        <v>306</v>
      </c>
      <c r="C13" s="82" t="s">
        <v>307</v>
      </c>
      <c r="D13" s="82"/>
      <c r="E13" s="28"/>
    </row>
    <row r="14" spans="1:11" s="31" customFormat="1" ht="30.6" customHeight="1">
      <c r="A14" s="6"/>
      <c r="B14" s="81" t="s">
        <v>308</v>
      </c>
      <c r="C14" s="81"/>
      <c r="D14" s="81"/>
      <c r="E14" s="81"/>
      <c r="F14" s="81"/>
      <c r="G14" s="81"/>
      <c r="H14" s="29"/>
    </row>
    <row r="15" spans="1:11" s="31" customFormat="1" ht="22.35" customHeight="1">
      <c r="A15" s="6"/>
      <c r="B15" s="30" t="s">
        <v>309</v>
      </c>
      <c r="C15" s="30" t="s">
        <v>310</v>
      </c>
      <c r="D15" s="30" t="s">
        <v>311</v>
      </c>
      <c r="E15" s="30" t="s">
        <v>312</v>
      </c>
      <c r="F15" s="30" t="s">
        <v>313</v>
      </c>
      <c r="G15" s="30" t="s">
        <v>314</v>
      </c>
      <c r="H15" s="29"/>
    </row>
    <row r="16" spans="1:11" s="31" customFormat="1" ht="38.4" customHeight="1">
      <c r="A16" s="6"/>
      <c r="B16" s="35" t="s">
        <v>315</v>
      </c>
      <c r="C16" s="44" t="s">
        <v>316</v>
      </c>
      <c r="D16" s="44">
        <f>INDEX(ExposureScores,MATCH("Very High",ExposureLabels,0))</f>
        <v>100</v>
      </c>
      <c r="E16" s="45">
        <v>100</v>
      </c>
      <c r="F16" s="44" t="s">
        <v>317</v>
      </c>
      <c r="G16" s="46"/>
      <c r="H16" s="29"/>
    </row>
    <row r="17" spans="1:22" s="31" customFormat="1" ht="27.15" customHeight="1">
      <c r="A17" s="6"/>
      <c r="B17" s="35" t="s">
        <v>318</v>
      </c>
      <c r="C17" s="44" t="s">
        <v>319</v>
      </c>
      <c r="D17" s="44">
        <f>INDEX(ManagementScores,MATCH("Very Strong",ManagementLabels,0))</f>
        <v>90</v>
      </c>
      <c r="E17" s="45">
        <v>90</v>
      </c>
      <c r="F17" s="44" t="s">
        <v>320</v>
      </c>
      <c r="G17" s="46"/>
      <c r="H17" s="29"/>
    </row>
    <row r="18" spans="1:22" s="31" customFormat="1" ht="27.15" customHeight="1">
      <c r="A18" s="6"/>
      <c r="B18" s="35" t="s">
        <v>321</v>
      </c>
      <c r="C18" s="44" t="s">
        <v>322</v>
      </c>
      <c r="D18" s="44">
        <f>100*(1-(90/100*70%))</f>
        <v>37</v>
      </c>
      <c r="E18" s="45">
        <v>37</v>
      </c>
      <c r="F18" s="44" t="s">
        <v>323</v>
      </c>
      <c r="G18" s="46"/>
      <c r="H18" s="29"/>
    </row>
    <row r="19" spans="1:22" s="31" customFormat="1" ht="27.15" customHeight="1">
      <c r="A19" s="6"/>
      <c r="B19" s="35" t="s">
        <v>324</v>
      </c>
      <c r="C19" s="44" t="s">
        <v>325</v>
      </c>
      <c r="D19" s="44">
        <f>(100-40)*15%</f>
        <v>9</v>
      </c>
      <c r="E19" s="45">
        <v>9</v>
      </c>
      <c r="F19" s="44" t="s">
        <v>326</v>
      </c>
      <c r="G19" s="46"/>
      <c r="H19" s="29"/>
    </row>
    <row r="20" spans="1:22" s="31" customFormat="1" ht="27.15" customHeight="1">
      <c r="A20" s="6"/>
      <c r="B20" s="35" t="s">
        <v>327</v>
      </c>
      <c r="C20" s="44" t="s">
        <v>328</v>
      </c>
      <c r="D20" s="44">
        <f>MIN(100,37+9)</f>
        <v>46</v>
      </c>
      <c r="E20" s="45">
        <v>46</v>
      </c>
      <c r="F20" s="44" t="s">
        <v>329</v>
      </c>
      <c r="G20" s="46"/>
      <c r="H20" s="29"/>
    </row>
    <row r="21" spans="1:22" s="31" customFormat="1" ht="27.15" customHeight="1">
      <c r="A21" s="6"/>
      <c r="B21" s="35" t="s">
        <v>330</v>
      </c>
      <c r="C21" s="44" t="s">
        <v>331</v>
      </c>
      <c r="D21" s="44">
        <f>46*18%</f>
        <v>8.2799999999999994</v>
      </c>
      <c r="E21" s="45">
        <v>8.2799999999999994</v>
      </c>
      <c r="F21" s="44" t="s">
        <v>332</v>
      </c>
      <c r="G21" s="46">
        <v>8.2799999999999994</v>
      </c>
      <c r="H21" s="29"/>
    </row>
    <row r="22" spans="1:22" customFormat="1" ht="33" customHeight="1">
      <c r="A22" s="6"/>
      <c r="B22" s="81" t="s">
        <v>333</v>
      </c>
      <c r="C22" s="81"/>
      <c r="D22" s="81"/>
      <c r="E22" s="81"/>
      <c r="F22" s="28"/>
      <c r="G22" s="81" t="s">
        <v>334</v>
      </c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6"/>
    </row>
    <row r="23" spans="1:22" customFormat="1" ht="22.35" customHeight="1">
      <c r="A23" s="6"/>
      <c r="B23" s="30" t="s">
        <v>72</v>
      </c>
      <c r="C23" s="30" t="s">
        <v>225</v>
      </c>
      <c r="D23" s="30" t="s">
        <v>226</v>
      </c>
      <c r="E23" s="30" t="s">
        <v>227</v>
      </c>
      <c r="F23" s="28"/>
      <c r="G23" s="26" t="s">
        <v>280</v>
      </c>
      <c r="H23" s="26" t="s">
        <v>335</v>
      </c>
      <c r="I23" s="26" t="s">
        <v>279</v>
      </c>
      <c r="J23" s="26" t="s">
        <v>335</v>
      </c>
      <c r="K23" s="26" t="s">
        <v>98</v>
      </c>
      <c r="L23" s="26" t="s">
        <v>335</v>
      </c>
      <c r="M23" s="26" t="s">
        <v>336</v>
      </c>
      <c r="N23" s="26" t="s">
        <v>337</v>
      </c>
      <c r="O23" s="26" t="s">
        <v>338</v>
      </c>
      <c r="P23" s="26" t="s">
        <v>339</v>
      </c>
      <c r="Q23" s="26" t="s">
        <v>340</v>
      </c>
      <c r="R23" s="26" t="s">
        <v>341</v>
      </c>
      <c r="S23" s="26" t="s">
        <v>342</v>
      </c>
      <c r="T23" s="26" t="s">
        <v>248</v>
      </c>
      <c r="U23" s="26" t="s">
        <v>343</v>
      </c>
      <c r="V23" s="6"/>
    </row>
    <row r="24" spans="1:22" customFormat="1">
      <c r="A24" s="6"/>
      <c r="B24" s="42" t="s">
        <v>73</v>
      </c>
      <c r="C24" s="47">
        <v>0.5</v>
      </c>
      <c r="D24" s="47">
        <v>0.3</v>
      </c>
      <c r="E24" s="47">
        <v>0.2</v>
      </c>
      <c r="F24" s="28"/>
      <c r="G24" s="44" t="s">
        <v>344</v>
      </c>
      <c r="H24" s="44">
        <v>10</v>
      </c>
      <c r="I24" s="44" t="s">
        <v>345</v>
      </c>
      <c r="J24" s="44">
        <v>10</v>
      </c>
      <c r="K24" s="44" t="s">
        <v>135</v>
      </c>
      <c r="L24" s="44">
        <v>20</v>
      </c>
      <c r="M24" s="44" t="s">
        <v>346</v>
      </c>
      <c r="N24" s="44">
        <v>0</v>
      </c>
      <c r="O24" s="44">
        <v>0</v>
      </c>
      <c r="P24" s="44" t="s">
        <v>347</v>
      </c>
      <c r="Q24" s="44">
        <v>10</v>
      </c>
      <c r="R24" s="44" t="s">
        <v>164</v>
      </c>
      <c r="S24" s="44" t="s">
        <v>81</v>
      </c>
      <c r="T24" s="44" t="s">
        <v>178</v>
      </c>
      <c r="U24" s="44" t="s">
        <v>180</v>
      </c>
      <c r="V24" s="6"/>
    </row>
    <row r="25" spans="1:22" customFormat="1">
      <c r="A25" s="6"/>
      <c r="B25" s="42" t="s">
        <v>348</v>
      </c>
      <c r="C25" s="47">
        <v>0.5</v>
      </c>
      <c r="D25" s="47">
        <v>0.25</v>
      </c>
      <c r="E25" s="47">
        <v>0.25</v>
      </c>
      <c r="F25" s="28"/>
      <c r="G25" s="44" t="s">
        <v>140</v>
      </c>
      <c r="H25" s="44">
        <v>30</v>
      </c>
      <c r="I25" s="44" t="s">
        <v>115</v>
      </c>
      <c r="J25" s="44">
        <v>30</v>
      </c>
      <c r="K25" s="44" t="s">
        <v>112</v>
      </c>
      <c r="L25" s="44">
        <v>40</v>
      </c>
      <c r="M25" s="44" t="s">
        <v>349</v>
      </c>
      <c r="N25" s="44">
        <v>5</v>
      </c>
      <c r="O25" s="44">
        <v>3</v>
      </c>
      <c r="P25" s="44" t="s">
        <v>166</v>
      </c>
      <c r="Q25" s="44">
        <v>8</v>
      </c>
      <c r="R25" s="44" t="s">
        <v>172</v>
      </c>
      <c r="S25" s="44" t="s">
        <v>350</v>
      </c>
      <c r="T25" s="44" t="s">
        <v>257</v>
      </c>
      <c r="U25" s="44" t="s">
        <v>351</v>
      </c>
      <c r="V25" s="6"/>
    </row>
    <row r="26" spans="1:22" customFormat="1">
      <c r="A26" s="6"/>
      <c r="B26" s="42" t="s">
        <v>352</v>
      </c>
      <c r="C26" s="47">
        <v>0.45</v>
      </c>
      <c r="D26" s="47">
        <v>0.3</v>
      </c>
      <c r="E26" s="47">
        <v>0.25</v>
      </c>
      <c r="F26" s="28"/>
      <c r="G26" s="44" t="s">
        <v>102</v>
      </c>
      <c r="H26" s="44">
        <v>50</v>
      </c>
      <c r="I26" s="44" t="s">
        <v>102</v>
      </c>
      <c r="J26" s="44">
        <v>50</v>
      </c>
      <c r="K26" s="44" t="s">
        <v>102</v>
      </c>
      <c r="L26" s="44">
        <v>60</v>
      </c>
      <c r="M26" s="44" t="s">
        <v>102</v>
      </c>
      <c r="N26" s="44">
        <v>12</v>
      </c>
      <c r="O26" s="44">
        <v>6</v>
      </c>
      <c r="P26" s="44" t="s">
        <v>353</v>
      </c>
      <c r="Q26" s="44">
        <v>5</v>
      </c>
      <c r="R26" s="48"/>
      <c r="S26" s="48"/>
      <c r="T26" s="44" t="s">
        <v>260</v>
      </c>
      <c r="U26" s="44" t="s">
        <v>354</v>
      </c>
      <c r="V26" s="6"/>
    </row>
    <row r="27" spans="1:22" customFormat="1">
      <c r="A27" s="6"/>
      <c r="B27" s="42" t="s">
        <v>355</v>
      </c>
      <c r="C27" s="47">
        <v>0.4</v>
      </c>
      <c r="D27" s="47">
        <v>0.35</v>
      </c>
      <c r="E27" s="47">
        <v>0.25</v>
      </c>
      <c r="F27" s="28"/>
      <c r="G27" s="44" t="s">
        <v>106</v>
      </c>
      <c r="H27" s="44">
        <v>75</v>
      </c>
      <c r="I27" s="44" t="s">
        <v>107</v>
      </c>
      <c r="J27" s="44">
        <v>75</v>
      </c>
      <c r="K27" s="44" t="s">
        <v>103</v>
      </c>
      <c r="L27" s="44">
        <v>80</v>
      </c>
      <c r="M27" s="44" t="s">
        <v>162</v>
      </c>
      <c r="N27" s="44">
        <v>22</v>
      </c>
      <c r="O27" s="44">
        <v>10</v>
      </c>
      <c r="P27" s="44" t="s">
        <v>356</v>
      </c>
      <c r="Q27" s="44">
        <v>2</v>
      </c>
      <c r="R27" s="48"/>
      <c r="S27" s="48"/>
      <c r="T27" s="44" t="s">
        <v>263</v>
      </c>
      <c r="U27" s="48"/>
      <c r="V27" s="6"/>
    </row>
    <row r="28" spans="1:22" customFormat="1">
      <c r="A28" s="6"/>
      <c r="B28" s="42" t="s">
        <v>357</v>
      </c>
      <c r="C28" s="47">
        <v>0.4</v>
      </c>
      <c r="D28" s="47">
        <v>0.35</v>
      </c>
      <c r="E28" s="47">
        <v>0.25</v>
      </c>
      <c r="F28" s="28"/>
      <c r="G28" s="44" t="s">
        <v>101</v>
      </c>
      <c r="H28" s="44">
        <v>100</v>
      </c>
      <c r="I28" s="44" t="s">
        <v>358</v>
      </c>
      <c r="J28" s="44">
        <v>90</v>
      </c>
      <c r="K28" s="44" t="s">
        <v>359</v>
      </c>
      <c r="L28" s="44">
        <v>100</v>
      </c>
      <c r="M28" s="44" t="s">
        <v>360</v>
      </c>
      <c r="N28" s="44">
        <v>35</v>
      </c>
      <c r="O28" s="44">
        <v>15</v>
      </c>
      <c r="P28" s="44" t="s">
        <v>346</v>
      </c>
      <c r="Q28" s="44">
        <v>0</v>
      </c>
      <c r="R28" s="48"/>
      <c r="S28" s="48"/>
      <c r="T28" s="48"/>
      <c r="U28" s="48"/>
      <c r="V28" s="6"/>
    </row>
    <row r="29" spans="1:22">
      <c r="A29" s="6"/>
      <c r="B29" s="42" t="s">
        <v>361</v>
      </c>
      <c r="C29" s="47">
        <v>0.35</v>
      </c>
      <c r="D29" s="47">
        <v>0.4</v>
      </c>
      <c r="E29" s="47">
        <v>0.25</v>
      </c>
      <c r="F29" s="2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41"/>
    </row>
    <row r="30" spans="1:22">
      <c r="A30" s="6"/>
      <c r="B30" s="42" t="s">
        <v>362</v>
      </c>
      <c r="C30" s="47">
        <v>0.2</v>
      </c>
      <c r="D30" s="47">
        <v>0.3</v>
      </c>
      <c r="E30" s="47">
        <v>0.5</v>
      </c>
      <c r="F30" s="28"/>
    </row>
    <row r="31" spans="1:22">
      <c r="A31" s="6"/>
      <c r="B31" s="42" t="s">
        <v>363</v>
      </c>
      <c r="C31" s="47">
        <v>0.2</v>
      </c>
      <c r="D31" s="47">
        <v>0.3</v>
      </c>
      <c r="E31" s="47">
        <v>0.5</v>
      </c>
      <c r="F31" s="28"/>
    </row>
    <row r="32" spans="1:22">
      <c r="A32" s="6"/>
      <c r="B32" s="42" t="s">
        <v>364</v>
      </c>
      <c r="C32" s="47">
        <v>0.3</v>
      </c>
      <c r="D32" s="47">
        <v>0.4</v>
      </c>
      <c r="E32" s="47">
        <v>0.3</v>
      </c>
      <c r="F32" s="28"/>
    </row>
    <row r="33" spans="1:11">
      <c r="A33" s="6"/>
      <c r="B33" s="42" t="s">
        <v>365</v>
      </c>
      <c r="C33" s="47">
        <v>0.25</v>
      </c>
      <c r="D33" s="47">
        <v>0.4</v>
      </c>
      <c r="E33" s="47">
        <v>0.35</v>
      </c>
      <c r="F33" s="28"/>
    </row>
    <row r="34" spans="1:11">
      <c r="A34" s="6"/>
      <c r="B34" s="42" t="s">
        <v>366</v>
      </c>
      <c r="C34" s="47">
        <v>0.45</v>
      </c>
      <c r="D34" s="47">
        <v>0.35</v>
      </c>
      <c r="E34" s="47">
        <v>0.2</v>
      </c>
      <c r="F34" s="28"/>
    </row>
    <row r="35" spans="1:11">
      <c r="A35" s="6"/>
      <c r="B35" s="42" t="s">
        <v>367</v>
      </c>
      <c r="C35" s="47">
        <v>0.4</v>
      </c>
      <c r="D35" s="47">
        <v>0.35</v>
      </c>
      <c r="E35" s="47">
        <v>0.25</v>
      </c>
      <c r="F35" s="28"/>
    </row>
    <row r="36" spans="1:11">
      <c r="A36" s="6"/>
      <c r="B36" s="42" t="s">
        <v>368</v>
      </c>
      <c r="C36" s="47">
        <v>0.2</v>
      </c>
      <c r="D36" s="47">
        <v>0.4</v>
      </c>
      <c r="E36" s="47">
        <v>0.4</v>
      </c>
      <c r="F36" s="28"/>
    </row>
    <row r="37" spans="1:11">
      <c r="A37" s="6"/>
      <c r="B37" s="42" t="s">
        <v>369</v>
      </c>
      <c r="C37" s="47">
        <v>0.15</v>
      </c>
      <c r="D37" s="47">
        <v>0.4</v>
      </c>
      <c r="E37" s="47">
        <v>0.45</v>
      </c>
      <c r="F37" s="28"/>
    </row>
    <row r="38" spans="1:11">
      <c r="A38" s="6"/>
      <c r="B38" s="42" t="s">
        <v>370</v>
      </c>
      <c r="C38" s="47">
        <v>0.25</v>
      </c>
      <c r="D38" s="47">
        <v>0.35</v>
      </c>
      <c r="E38" s="47">
        <v>0.4</v>
      </c>
      <c r="F38" s="28"/>
    </row>
    <row r="39" spans="1:11">
      <c r="A39" s="6"/>
      <c r="B39" s="42" t="s">
        <v>371</v>
      </c>
      <c r="C39" s="47">
        <v>0.4</v>
      </c>
      <c r="D39" s="47">
        <v>0.3</v>
      </c>
      <c r="E39" s="47">
        <v>0.3</v>
      </c>
      <c r="F39" s="28"/>
    </row>
    <row r="40" spans="1:11" ht="34.200000000000003" customHeight="1">
      <c r="A40" s="6"/>
      <c r="B40" s="81" t="s">
        <v>372</v>
      </c>
      <c r="C40" s="81"/>
      <c r="D40" s="81"/>
      <c r="E40" s="81"/>
      <c r="F40" s="28"/>
      <c r="G40" s="40"/>
      <c r="H40" s="40"/>
      <c r="I40" s="40"/>
      <c r="J40" s="40"/>
      <c r="K40" s="40"/>
    </row>
    <row r="41" spans="1:11" ht="30.45" customHeight="1">
      <c r="A41" s="6"/>
      <c r="B41" s="30" t="s">
        <v>202</v>
      </c>
      <c r="C41" s="30" t="s">
        <v>95</v>
      </c>
      <c r="D41" s="30" t="s">
        <v>373</v>
      </c>
      <c r="E41" s="30" t="s">
        <v>218</v>
      </c>
      <c r="F41" s="28"/>
      <c r="G41" s="40"/>
      <c r="H41" s="40"/>
      <c r="I41" s="40"/>
      <c r="J41" s="40"/>
      <c r="K41" s="40"/>
    </row>
    <row r="42" spans="1:11" ht="47.4" customHeight="1">
      <c r="A42" s="6"/>
      <c r="B42" s="42" t="s">
        <v>225</v>
      </c>
      <c r="C42" s="42" t="s">
        <v>100</v>
      </c>
      <c r="D42" s="42" t="s">
        <v>374</v>
      </c>
      <c r="E42" s="42" t="s">
        <v>375</v>
      </c>
      <c r="F42" s="28"/>
      <c r="G42" s="40"/>
      <c r="H42" s="40"/>
      <c r="I42" s="40"/>
      <c r="J42" s="40"/>
      <c r="K42" s="40"/>
    </row>
    <row r="43" spans="1:11" ht="43.2" customHeight="1">
      <c r="A43" s="6"/>
      <c r="B43" s="42" t="s">
        <v>225</v>
      </c>
      <c r="C43" s="42" t="s">
        <v>105</v>
      </c>
      <c r="D43" s="42" t="s">
        <v>376</v>
      </c>
      <c r="E43" s="42" t="s">
        <v>377</v>
      </c>
      <c r="F43" s="28"/>
      <c r="G43" s="40"/>
      <c r="H43" s="40"/>
      <c r="I43" s="40"/>
      <c r="J43" s="40"/>
      <c r="K43" s="40"/>
    </row>
    <row r="44" spans="1:11" ht="59.4" customHeight="1">
      <c r="A44" s="6"/>
      <c r="B44" s="42" t="s">
        <v>225</v>
      </c>
      <c r="C44" s="42" t="s">
        <v>109</v>
      </c>
      <c r="D44" s="42" t="s">
        <v>378</v>
      </c>
      <c r="E44" s="42" t="s">
        <v>379</v>
      </c>
      <c r="F44" s="28"/>
      <c r="G44" s="40"/>
      <c r="H44" s="40"/>
      <c r="I44" s="40"/>
      <c r="J44" s="40"/>
      <c r="K44" s="40"/>
    </row>
    <row r="45" spans="1:11" ht="54.6" customHeight="1">
      <c r="A45" s="6"/>
      <c r="B45" s="42" t="s">
        <v>225</v>
      </c>
      <c r="C45" s="42" t="s">
        <v>111</v>
      </c>
      <c r="D45" s="42" t="s">
        <v>380</v>
      </c>
      <c r="E45" s="42" t="s">
        <v>381</v>
      </c>
      <c r="F45" s="28"/>
      <c r="G45" s="40"/>
      <c r="H45" s="40"/>
      <c r="I45" s="40"/>
      <c r="J45" s="40"/>
      <c r="K45" s="40"/>
    </row>
    <row r="46" spans="1:11" ht="49.2" customHeight="1">
      <c r="A46" s="6"/>
      <c r="B46" s="42" t="s">
        <v>225</v>
      </c>
      <c r="C46" s="42" t="s">
        <v>114</v>
      </c>
      <c r="D46" s="42" t="s">
        <v>382</v>
      </c>
      <c r="E46" s="42" t="s">
        <v>383</v>
      </c>
      <c r="F46" s="28"/>
      <c r="G46" s="40"/>
      <c r="H46" s="40"/>
      <c r="I46" s="40"/>
      <c r="J46" s="40"/>
      <c r="K46" s="40"/>
    </row>
    <row r="47" spans="1:11" ht="60.6" customHeight="1">
      <c r="A47" s="6"/>
      <c r="B47" s="42" t="s">
        <v>225</v>
      </c>
      <c r="C47" s="42" t="s">
        <v>117</v>
      </c>
      <c r="D47" s="42" t="s">
        <v>384</v>
      </c>
      <c r="E47" s="42" t="s">
        <v>385</v>
      </c>
      <c r="F47" s="28"/>
      <c r="G47" s="40"/>
      <c r="H47" s="40"/>
      <c r="I47" s="40"/>
      <c r="J47" s="40"/>
      <c r="K47" s="40"/>
    </row>
    <row r="48" spans="1:11" ht="65.400000000000006" customHeight="1">
      <c r="A48" s="6"/>
      <c r="B48" s="42" t="s">
        <v>225</v>
      </c>
      <c r="C48" s="42" t="s">
        <v>119</v>
      </c>
      <c r="D48" s="42" t="s">
        <v>386</v>
      </c>
      <c r="E48" s="42" t="s">
        <v>387</v>
      </c>
      <c r="F48" s="28"/>
      <c r="G48" s="40"/>
      <c r="H48" s="40"/>
      <c r="I48" s="40"/>
      <c r="J48" s="40"/>
      <c r="K48" s="40"/>
    </row>
    <row r="49" spans="1:11" ht="45.6" customHeight="1">
      <c r="A49" s="6"/>
      <c r="B49" s="42" t="s">
        <v>225</v>
      </c>
      <c r="C49" s="42" t="s">
        <v>121</v>
      </c>
      <c r="D49" s="42" t="s">
        <v>388</v>
      </c>
      <c r="E49" s="42" t="s">
        <v>389</v>
      </c>
      <c r="F49" s="28"/>
      <c r="G49" s="40"/>
      <c r="H49" s="40"/>
      <c r="I49" s="40"/>
      <c r="J49" s="40"/>
      <c r="K49" s="40"/>
    </row>
    <row r="50" spans="1:11" ht="58.8" customHeight="1">
      <c r="A50" s="6"/>
      <c r="B50" s="42" t="s">
        <v>226</v>
      </c>
      <c r="C50" s="42" t="s">
        <v>124</v>
      </c>
      <c r="D50" s="42" t="s">
        <v>390</v>
      </c>
      <c r="E50" s="42" t="s">
        <v>391</v>
      </c>
      <c r="F50" s="28"/>
      <c r="G50" s="40"/>
      <c r="H50" s="40"/>
      <c r="I50" s="40"/>
      <c r="J50" s="40"/>
      <c r="K50" s="40"/>
    </row>
    <row r="51" spans="1:11" ht="51.6" customHeight="1">
      <c r="A51" s="6"/>
      <c r="B51" s="42" t="s">
        <v>226</v>
      </c>
      <c r="C51" s="42" t="s">
        <v>126</v>
      </c>
      <c r="D51" s="42" t="s">
        <v>392</v>
      </c>
      <c r="E51" s="42" t="s">
        <v>393</v>
      </c>
      <c r="F51" s="28"/>
      <c r="G51" s="40"/>
      <c r="H51" s="40"/>
      <c r="I51" s="40"/>
      <c r="J51" s="40"/>
      <c r="K51" s="40"/>
    </row>
    <row r="52" spans="1:11" ht="46.8" customHeight="1">
      <c r="A52" s="6"/>
      <c r="B52" s="42" t="s">
        <v>226</v>
      </c>
      <c r="C52" s="42" t="s">
        <v>128</v>
      </c>
      <c r="D52" s="42" t="s">
        <v>394</v>
      </c>
      <c r="E52" s="42" t="s">
        <v>395</v>
      </c>
      <c r="F52" s="28"/>
      <c r="G52" s="40"/>
      <c r="H52" s="40"/>
      <c r="I52" s="40"/>
      <c r="J52" s="40"/>
      <c r="K52" s="40"/>
    </row>
    <row r="53" spans="1:11" ht="52.2" customHeight="1">
      <c r="A53" s="6"/>
      <c r="B53" s="42" t="s">
        <v>226</v>
      </c>
      <c r="C53" s="42" t="s">
        <v>130</v>
      </c>
      <c r="D53" s="42" t="s">
        <v>396</v>
      </c>
      <c r="E53" s="42" t="s">
        <v>397</v>
      </c>
      <c r="F53" s="28"/>
      <c r="G53" s="40"/>
      <c r="H53" s="40"/>
      <c r="I53" s="40"/>
      <c r="J53" s="40"/>
      <c r="K53" s="40"/>
    </row>
    <row r="54" spans="1:11" ht="49.2" customHeight="1">
      <c r="A54" s="6"/>
      <c r="B54" s="42" t="s">
        <v>226</v>
      </c>
      <c r="C54" s="42" t="s">
        <v>132</v>
      </c>
      <c r="D54" s="42" t="s">
        <v>398</v>
      </c>
      <c r="E54" s="42" t="s">
        <v>399</v>
      </c>
      <c r="F54" s="28"/>
    </row>
    <row r="55" spans="1:11" ht="56.4" customHeight="1">
      <c r="A55" s="6"/>
      <c r="B55" s="42" t="s">
        <v>226</v>
      </c>
      <c r="C55" s="42" t="s">
        <v>134</v>
      </c>
      <c r="D55" s="42" t="s">
        <v>400</v>
      </c>
      <c r="E55" s="42" t="s">
        <v>401</v>
      </c>
      <c r="F55" s="28"/>
    </row>
    <row r="56" spans="1:11" ht="53.4" customHeight="1">
      <c r="A56" s="6"/>
      <c r="B56" s="42" t="s">
        <v>226</v>
      </c>
      <c r="C56" s="42" t="s">
        <v>137</v>
      </c>
      <c r="D56" s="42" t="s">
        <v>402</v>
      </c>
      <c r="E56" s="42" t="s">
        <v>403</v>
      </c>
      <c r="F56" s="28"/>
    </row>
    <row r="57" spans="1:11" ht="49.8" customHeight="1">
      <c r="A57" s="6"/>
      <c r="B57" s="42" t="s">
        <v>226</v>
      </c>
      <c r="C57" s="42" t="s">
        <v>139</v>
      </c>
      <c r="D57" s="42" t="s">
        <v>404</v>
      </c>
      <c r="E57" s="42" t="s">
        <v>405</v>
      </c>
      <c r="F57" s="28"/>
    </row>
    <row r="58" spans="1:11" ht="55.8" customHeight="1">
      <c r="A58" s="6"/>
      <c r="B58" s="42" t="s">
        <v>227</v>
      </c>
      <c r="C58" s="42" t="s">
        <v>143</v>
      </c>
      <c r="D58" s="42" t="s">
        <v>406</v>
      </c>
      <c r="E58" s="42" t="s">
        <v>407</v>
      </c>
      <c r="F58" s="28"/>
    </row>
    <row r="59" spans="1:11" ht="52.2" customHeight="1">
      <c r="A59" s="6"/>
      <c r="B59" s="42" t="s">
        <v>227</v>
      </c>
      <c r="C59" s="42" t="s">
        <v>145</v>
      </c>
      <c r="D59" s="42" t="s">
        <v>408</v>
      </c>
      <c r="E59" s="42" t="s">
        <v>409</v>
      </c>
      <c r="F59" s="28"/>
    </row>
    <row r="60" spans="1:11" ht="55.2" customHeight="1">
      <c r="A60" s="6"/>
      <c r="B60" s="42" t="s">
        <v>227</v>
      </c>
      <c r="C60" s="42" t="s">
        <v>147</v>
      </c>
      <c r="D60" s="42" t="s">
        <v>410</v>
      </c>
      <c r="E60" s="42" t="s">
        <v>411</v>
      </c>
      <c r="F60" s="28"/>
    </row>
    <row r="61" spans="1:11" ht="42.6" customHeight="1">
      <c r="A61" s="6"/>
      <c r="B61" s="42" t="s">
        <v>227</v>
      </c>
      <c r="C61" s="42" t="s">
        <v>149</v>
      </c>
      <c r="D61" s="42" t="s">
        <v>412</v>
      </c>
      <c r="E61" s="42" t="s">
        <v>413</v>
      </c>
      <c r="F61" s="28"/>
    </row>
    <row r="62" spans="1:11" ht="52.2" customHeight="1">
      <c r="A62" s="6"/>
      <c r="B62" s="42" t="s">
        <v>227</v>
      </c>
      <c r="C62" s="42" t="s">
        <v>151</v>
      </c>
      <c r="D62" s="42" t="s">
        <v>414</v>
      </c>
      <c r="E62" s="42" t="s">
        <v>415</v>
      </c>
      <c r="F62" s="28"/>
    </row>
    <row r="63" spans="1:11" ht="49.8" customHeight="1">
      <c r="A63" s="6"/>
      <c r="B63" s="42" t="s">
        <v>227</v>
      </c>
      <c r="C63" s="42" t="s">
        <v>153</v>
      </c>
      <c r="D63" s="42" t="s">
        <v>416</v>
      </c>
      <c r="E63" s="42" t="s">
        <v>417</v>
      </c>
      <c r="F63" s="28"/>
    </row>
    <row r="64" spans="1:11" ht="46.2" customHeight="1">
      <c r="A64" s="6"/>
      <c r="B64" s="42" t="s">
        <v>227</v>
      </c>
      <c r="C64" s="42" t="s">
        <v>155</v>
      </c>
      <c r="D64" s="42" t="s">
        <v>418</v>
      </c>
      <c r="E64" s="42" t="s">
        <v>419</v>
      </c>
      <c r="F64" s="28"/>
    </row>
    <row r="65" spans="1:6" ht="46.8" customHeight="1">
      <c r="A65" s="6"/>
      <c r="B65" s="42" t="s">
        <v>227</v>
      </c>
      <c r="C65" s="42" t="s">
        <v>157</v>
      </c>
      <c r="D65" s="42" t="s">
        <v>420</v>
      </c>
      <c r="E65" s="42" t="s">
        <v>421</v>
      </c>
      <c r="F65" s="28"/>
    </row>
    <row r="66" spans="1:6">
      <c r="A66" s="6"/>
      <c r="B66" s="28"/>
      <c r="C66" s="28"/>
      <c r="D66" s="28"/>
      <c r="E66" s="28"/>
      <c r="F66" s="28"/>
    </row>
    <row r="67" spans="1:6">
      <c r="A67" s="6"/>
      <c r="B67" s="28"/>
      <c r="C67" s="28"/>
      <c r="D67" s="28"/>
      <c r="E67" s="28"/>
      <c r="F67" s="28"/>
    </row>
    <row r="68" spans="1:6">
      <c r="A68" s="6"/>
      <c r="B68" s="28"/>
      <c r="C68" s="28"/>
      <c r="D68" s="28"/>
      <c r="E68" s="28"/>
      <c r="F68" s="28"/>
    </row>
    <row r="69" spans="1:6">
      <c r="A69" s="6"/>
      <c r="B69" s="28"/>
      <c r="C69" s="28"/>
      <c r="D69" s="28"/>
      <c r="E69" s="28"/>
      <c r="F69" s="28"/>
    </row>
  </sheetData>
  <mergeCells count="13">
    <mergeCell ref="B4:D4"/>
    <mergeCell ref="C1:D1"/>
    <mergeCell ref="B40:E40"/>
    <mergeCell ref="C5:D5"/>
    <mergeCell ref="C6:D6"/>
    <mergeCell ref="C7:D7"/>
    <mergeCell ref="C8:D8"/>
    <mergeCell ref="C9:D9"/>
    <mergeCell ref="C12:D12"/>
    <mergeCell ref="C13:D13"/>
    <mergeCell ref="B14:G14"/>
    <mergeCell ref="B22:E22"/>
    <mergeCell ref="G22:U22"/>
  </mergeCells>
  <pageMargins left="0.7" right="0.7" top="0.75" bottom="0.75" header="0.3" footer="0.3"/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f94ae9-501f-43b3-b62b-d78a5e33d2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A435B058C764E9A89B82744AF5286" ma:contentTypeVersion="15" ma:contentTypeDescription="Create a new document." ma:contentTypeScope="" ma:versionID="dc9d904f4f14fba393c50fc73940f938">
  <xsd:schema xmlns:xsd="http://www.w3.org/2001/XMLSchema" xmlns:xs="http://www.w3.org/2001/XMLSchema" xmlns:p="http://schemas.microsoft.com/office/2006/metadata/properties" xmlns:ns3="44f94ae9-501f-43b3-b62b-d78a5e33d2d9" xmlns:ns4="deaee3fc-21cd-49b9-a3e3-0dac5e91b80c" targetNamespace="http://schemas.microsoft.com/office/2006/metadata/properties" ma:root="true" ma:fieldsID="63704dc8975fdddb8227214a55ca9ccd" ns3:_="" ns4:_="">
    <xsd:import namespace="44f94ae9-501f-43b3-b62b-d78a5e33d2d9"/>
    <xsd:import namespace="deaee3fc-21cd-49b9-a3e3-0dac5e91b80c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94ae9-501f-43b3-b62b-d78a5e33d2d9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ee3fc-21cd-49b9-a3e3-0dac5e91b80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4D92A-D177-4AE5-8CBD-D80E51482695}">
  <ds:schemaRefs>
    <ds:schemaRef ds:uri="http://schemas.openxmlformats.org/package/2006/metadata/core-properties"/>
    <ds:schemaRef ds:uri="http://schemas.microsoft.com/office/infopath/2007/PartnerControls"/>
    <ds:schemaRef ds:uri="44f94ae9-501f-43b3-b62b-d78a5e33d2d9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deaee3fc-21cd-49b9-a3e3-0dac5e91b80c"/>
  </ds:schemaRefs>
</ds:datastoreItem>
</file>

<file path=customXml/itemProps2.xml><?xml version="1.0" encoding="utf-8"?>
<ds:datastoreItem xmlns:ds="http://schemas.openxmlformats.org/officeDocument/2006/customXml" ds:itemID="{43B314DF-AF2A-417B-8C9A-2DC53EC3AF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72BBA8-8382-43A8-AA46-5E9DF0891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f94ae9-501f-43b3-b62b-d78a5e33d2d9"/>
    <ds:schemaRef ds:uri="deaee3fc-21cd-49b9-a3e3-0dac5e91b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28</vt:i4>
      </vt:variant>
    </vt:vector>
  </HeadingPairs>
  <TitlesOfParts>
    <vt:vector size="33" baseType="lpstr">
      <vt:lpstr>Instructions</vt:lpstr>
      <vt:lpstr>Company Assessment</vt:lpstr>
      <vt:lpstr>Scoring Engine</vt:lpstr>
      <vt:lpstr>Risk Dashboard</vt:lpstr>
      <vt:lpstr>Methodology &amp; Benchmarks</vt:lpstr>
      <vt:lpstr>ActiveEnvWeight</vt:lpstr>
      <vt:lpstr>ActiveGovWeight</vt:lpstr>
      <vt:lpstr>ActiveSocialWeight</vt:lpstr>
      <vt:lpstr>CompanyTypeList</vt:lpstr>
      <vt:lpstr>ControversyScale</vt:lpstr>
      <vt:lpstr>DataQualityLabels</vt:lpstr>
      <vt:lpstr>DataQualityScores</vt:lpstr>
      <vt:lpstr>ExposureLabels</vt:lpstr>
      <vt:lpstr>ExposureScores</vt:lpstr>
      <vt:lpstr>FactorActions</vt:lpstr>
      <vt:lpstr>FactorNames</vt:lpstr>
      <vt:lpstr>FineSeverityScores</vt:lpstr>
      <vt:lpstr>IndustryEnvWeights</vt:lpstr>
      <vt:lpstr>IndustryGovWeights</vt:lpstr>
      <vt:lpstr>IndustryList</vt:lpstr>
      <vt:lpstr>IndustrySocialWeights</vt:lpstr>
      <vt:lpstr>ManagementLabels</vt:lpstr>
      <vt:lpstr>ManagementScores</vt:lpstr>
      <vt:lpstr>MaxMitigation</vt:lpstr>
      <vt:lpstr>RecencyLabels</vt:lpstr>
      <vt:lpstr>RecencyScores</vt:lpstr>
      <vt:lpstr>ScenarioList</vt:lpstr>
      <vt:lpstr>SelectedScenario</vt:lpstr>
      <vt:lpstr>SeverityLabels</vt:lpstr>
      <vt:lpstr>SeverityMainScores</vt:lpstr>
      <vt:lpstr>UncertaintyFactor</vt:lpstr>
      <vt:lpstr>WeightBasisList</vt:lpstr>
      <vt:lpstr>YesNoList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Livingstone</dc:creator>
  <cp:lastModifiedBy>Matthew Livingstone</cp:lastModifiedBy>
  <dcterms:created xsi:type="dcterms:W3CDTF">2026-07-12T01:50:43Z</dcterms:created>
  <dcterms:modified xsi:type="dcterms:W3CDTF">2026-07-12T04:09:42Z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0x010100CDEA435B058C764E9A89B82744AF5286</vt:lpwstr>
  </property>
</Properties>
</file>